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090" activeTab="2"/>
  </bookViews>
  <sheets>
    <sheet name="Výpočet_1" sheetId="1" r:id="rId1"/>
    <sheet name="Tisk_1" sheetId="2" r:id="rId2"/>
    <sheet name="Nápověda" sheetId="3" r:id="rId3"/>
  </sheets>
  <definedNames/>
  <calcPr fullCalcOnLoad="1" iterate="1" iterateCount="100" iterateDelta="0.001"/>
</workbook>
</file>

<file path=xl/comments1.xml><?xml version="1.0" encoding="utf-8"?>
<comments xmlns="http://schemas.openxmlformats.org/spreadsheetml/2006/main">
  <authors>
    <author>O</author>
  </authors>
  <commentList>
    <comment ref="D8" authorId="0">
      <text>
        <r>
          <rPr>
            <b/>
            <sz val="8"/>
            <rFont val="Tahoma"/>
            <family val="2"/>
          </rPr>
          <t>STANDARDNÍ PRŮMĚRY POTRUBÍ:
80 100 125 140 150 180 200 225 250 280 300 315 400 450 500 560 630 710 800 900 1000</t>
        </r>
      </text>
    </comment>
    <comment ref="D10" authorId="0">
      <text>
        <r>
          <rPr>
            <b/>
            <sz val="8"/>
            <rFont val="Tahoma"/>
            <family val="0"/>
          </rPr>
          <t>DOPORUČENÁ VOLBA: 1mm</t>
        </r>
      </text>
    </comment>
    <comment ref="D11" authorId="0">
      <text>
        <r>
          <rPr>
            <b/>
            <sz val="8"/>
            <rFont val="Tahoma"/>
            <family val="0"/>
          </rPr>
          <t>SONOFLEX, GERIFLEX, TERMOFLEX, SEMIFLEX TERMO:  tl=25mm</t>
        </r>
      </text>
    </comment>
    <comment ref="D12" authorId="0">
      <text>
        <r>
          <rPr>
            <b/>
            <sz val="8"/>
            <rFont val="Tahoma"/>
            <family val="0"/>
          </rPr>
          <t>volí se jako nejdelší z přímých délek potrubí obecně zalomeného vzduchovodu</t>
        </r>
      </text>
    </comment>
    <comment ref="N6" authorId="0">
      <text>
        <r>
          <rPr>
            <b/>
            <sz val="8"/>
            <rFont val="Tahoma"/>
            <family val="0"/>
          </rPr>
          <t xml:space="preserve">OCEL:     </t>
        </r>
        <r>
          <rPr>
            <b/>
            <sz val="8"/>
            <rFont val="Symbol"/>
            <family val="1"/>
          </rPr>
          <t>l</t>
        </r>
        <r>
          <rPr>
            <b/>
            <sz val="8"/>
            <rFont val="Tahoma"/>
            <family val="2"/>
          </rPr>
          <t xml:space="preserve">=50W.m-1.k-1
HLINÍK: </t>
        </r>
        <r>
          <rPr>
            <b/>
            <sz val="8"/>
            <rFont val="Symbol"/>
            <family val="1"/>
          </rPr>
          <t>l</t>
        </r>
        <r>
          <rPr>
            <b/>
            <sz val="8"/>
            <rFont val="Tahoma"/>
            <family val="2"/>
          </rPr>
          <t>=204W.m-1.k-1</t>
        </r>
      </text>
    </comment>
    <comment ref="N7" authorId="0">
      <text>
        <r>
          <rPr>
            <b/>
            <sz val="8"/>
            <rFont val="Tahoma"/>
            <family val="0"/>
          </rPr>
          <t xml:space="preserve">MINERÁLNÍ PLSŤ: 
</t>
        </r>
        <r>
          <rPr>
            <b/>
            <sz val="8"/>
            <rFont val="Symbol"/>
            <family val="1"/>
          </rPr>
          <t>r</t>
        </r>
        <r>
          <rPr>
            <b/>
            <sz val="8"/>
            <rFont val="Tahoma"/>
            <family val="0"/>
          </rPr>
          <t xml:space="preserve"> =150kg/m3: </t>
        </r>
        <r>
          <rPr>
            <b/>
            <sz val="8"/>
            <rFont val="Symbol"/>
            <family val="1"/>
          </rPr>
          <t>l</t>
        </r>
        <r>
          <rPr>
            <b/>
            <sz val="8"/>
            <rFont val="Tahoma"/>
            <family val="0"/>
          </rPr>
          <t xml:space="preserve">p= 0,095
</t>
        </r>
        <r>
          <rPr>
            <b/>
            <sz val="8"/>
            <rFont val="Symbol"/>
            <family val="1"/>
          </rPr>
          <t>r</t>
        </r>
        <r>
          <rPr>
            <b/>
            <sz val="8"/>
            <rFont val="Tahoma"/>
            <family val="0"/>
          </rPr>
          <t xml:space="preserve"> =250kg/m3: </t>
        </r>
        <r>
          <rPr>
            <b/>
            <sz val="8"/>
            <rFont val="Symbol"/>
            <family val="1"/>
          </rPr>
          <t>l</t>
        </r>
        <r>
          <rPr>
            <b/>
            <sz val="8"/>
            <rFont val="Tahoma"/>
            <family val="0"/>
          </rPr>
          <t xml:space="preserve">p= 0,079
</t>
        </r>
        <r>
          <rPr>
            <b/>
            <sz val="8"/>
            <rFont val="Symbol"/>
            <family val="1"/>
          </rPr>
          <t>r</t>
        </r>
        <r>
          <rPr>
            <b/>
            <sz val="8"/>
            <rFont val="Tahoma"/>
            <family val="0"/>
          </rPr>
          <t xml:space="preserve"> =350kg/m3: </t>
        </r>
        <r>
          <rPr>
            <b/>
            <sz val="8"/>
            <rFont val="Symbol"/>
            <family val="1"/>
          </rPr>
          <t>l</t>
        </r>
        <r>
          <rPr>
            <b/>
            <sz val="8"/>
            <rFont val="Tahoma"/>
            <family val="0"/>
          </rPr>
          <t xml:space="preserve">p= 0,054
</t>
        </r>
        <r>
          <rPr>
            <b/>
            <sz val="8"/>
            <rFont val="Symbol"/>
            <family val="1"/>
          </rPr>
          <t>r</t>
        </r>
        <r>
          <rPr>
            <b/>
            <sz val="8"/>
            <rFont val="Tahoma"/>
            <family val="0"/>
          </rPr>
          <t xml:space="preserve"> =450kg/m3: </t>
        </r>
        <r>
          <rPr>
            <b/>
            <sz val="8"/>
            <rFont val="Symbol"/>
            <family val="1"/>
          </rPr>
          <t>l</t>
        </r>
        <r>
          <rPr>
            <b/>
            <sz val="8"/>
            <rFont val="Tahoma"/>
            <family val="0"/>
          </rPr>
          <t xml:space="preserve">p= 0,073
</t>
        </r>
        <r>
          <rPr>
            <b/>
            <sz val="8"/>
            <rFont val="Symbol"/>
            <family val="1"/>
          </rPr>
          <t>r</t>
        </r>
        <r>
          <rPr>
            <b/>
            <sz val="8"/>
            <rFont val="Tahoma"/>
            <family val="0"/>
          </rPr>
          <t xml:space="preserve"> =550kg/m3: </t>
        </r>
        <r>
          <rPr>
            <b/>
            <sz val="8"/>
            <rFont val="Symbol"/>
            <family val="1"/>
          </rPr>
          <t>l</t>
        </r>
        <r>
          <rPr>
            <b/>
            <sz val="8"/>
            <rFont val="Tahoma"/>
            <family val="0"/>
          </rPr>
          <t xml:space="preserve">p= 0,088
ORSIL S:
</t>
        </r>
        <r>
          <rPr>
            <b/>
            <sz val="8"/>
            <rFont val="Symbol"/>
            <family val="1"/>
          </rPr>
          <t>r</t>
        </r>
        <r>
          <rPr>
            <b/>
            <sz val="8"/>
            <rFont val="Tahoma"/>
            <family val="0"/>
          </rPr>
          <t xml:space="preserve"> =200kg/m3: </t>
        </r>
        <r>
          <rPr>
            <b/>
            <sz val="8"/>
            <rFont val="Symbol"/>
            <family val="1"/>
          </rPr>
          <t>l</t>
        </r>
        <r>
          <rPr>
            <b/>
            <sz val="8"/>
            <rFont val="Tahoma"/>
            <family val="0"/>
          </rPr>
          <t xml:space="preserve">p= 0,04
ROTAFLEX:
</t>
        </r>
        <r>
          <rPr>
            <b/>
            <sz val="8"/>
            <rFont val="Symbol"/>
            <family val="1"/>
          </rPr>
          <t>r</t>
        </r>
        <r>
          <rPr>
            <b/>
            <sz val="8"/>
            <rFont val="Tahoma"/>
            <family val="0"/>
          </rPr>
          <t xml:space="preserve"> =18-25kg/m3: </t>
        </r>
        <r>
          <rPr>
            <b/>
            <sz val="8"/>
            <rFont val="Symbol"/>
            <family val="1"/>
          </rPr>
          <t>l</t>
        </r>
        <r>
          <rPr>
            <b/>
            <sz val="8"/>
            <rFont val="Tahoma"/>
            <family val="0"/>
          </rPr>
          <t xml:space="preserve">p= 0,05
ISOVER:
</t>
        </r>
        <r>
          <rPr>
            <b/>
            <sz val="8"/>
            <rFont val="Symbol"/>
            <family val="1"/>
          </rPr>
          <t>l</t>
        </r>
        <r>
          <rPr>
            <b/>
            <sz val="8"/>
            <rFont val="Tahoma"/>
            <family val="0"/>
          </rPr>
          <t xml:space="preserve">p= 0,035
doporučeno:   </t>
        </r>
        <r>
          <rPr>
            <b/>
            <sz val="8"/>
            <rFont val="Symbol"/>
            <family val="1"/>
          </rPr>
          <t>l</t>
        </r>
        <r>
          <rPr>
            <b/>
            <sz val="8"/>
            <rFont val="Tahoma"/>
            <family val="0"/>
          </rPr>
          <t>p= 0,07</t>
        </r>
      </text>
    </comment>
    <comment ref="N8" authorId="0">
      <text>
        <r>
          <rPr>
            <b/>
            <sz val="8"/>
            <rFont val="Tahoma"/>
            <family val="0"/>
          </rPr>
          <t xml:space="preserve">OCEL                           </t>
        </r>
        <r>
          <rPr>
            <b/>
            <sz val="10"/>
            <rFont val="Symbol"/>
            <family val="1"/>
          </rPr>
          <t>e</t>
        </r>
        <r>
          <rPr>
            <b/>
            <sz val="8"/>
            <rFont val="Tahoma"/>
            <family val="0"/>
          </rPr>
          <t xml:space="preserve">
ČISTĚ LEPTANÁ      0,06 
LEŠTĚNÁ                  0,06 
SUROVÁ                  0,75 - 0,80 
POCÍNOVANÁ         0,25 
HLINÍK LEŠTĚNÝ    0,05  </t>
        </r>
      </text>
    </comment>
    <comment ref="N10" authorId="0">
      <text>
        <r>
          <rPr>
            <b/>
            <sz val="8"/>
            <rFont val="Tahoma"/>
            <family val="2"/>
          </rPr>
          <t>KOUPELNY:  24°C
WC:               20°C
KUCHYNĚ:    20°C
POKOJE:       20°C
ŠATNY:         22°C
BAZÉNY:       30°C
SKLADY BRAMBOR: 2-5°C</t>
        </r>
      </text>
    </comment>
    <comment ref="N11" authorId="0">
      <text>
        <r>
          <rPr>
            <b/>
            <sz val="8"/>
            <rFont val="Tahoma"/>
            <family val="0"/>
          </rPr>
          <t>KOUPELNY:  0,9
WC:               0,6
KUCHYNĚ:    0,6-0,8
POKOJE:       0,6
ŠATNY:         0,6
BAZÉNY:       0,7-0,85
SKLADY BRAMBOR: 0,92</t>
        </r>
      </text>
    </comment>
    <comment ref="N12" authorId="0">
      <text>
        <r>
          <rPr>
            <b/>
            <sz val="8"/>
            <rFont val="Tahoma"/>
            <family val="0"/>
          </rPr>
          <t xml:space="preserve">                                                                              výpočtová venkovní teplota 
                                                                                   | -12    -15     -18     -21  |
---------------------------------------------------------------------------------------
půdy - netěsná krytina                                        | -6       -9       -12    -15   |
          - těsná krytina                   bez tep.iz.:      |  -3      -6        -9      -12   |    
                                                             s tep.iz.:       |   0        0        -3      -6     |
místnosti sousedící                                                
- s vytápěnými místnostmi (vnitřní chodby):  |                 15                      |
- s vytápěnými, i nevytápěnými  místnostmi: |  0         0        -3      -3      |
- převážně s venkovním prostředími:                | -3       -6        -9      -12   |
sklep
- zcela pod terénem:                                               |        +5 - +10                  |
částečně nad terénem
- nevětrané                                                               | +3     +3        0         0     |                                                    
- větrané                                                                    |     0       0       -3        -3    | </t>
        </r>
      </text>
    </comment>
  </commentList>
</comments>
</file>

<file path=xl/sharedStrings.xml><?xml version="1.0" encoding="utf-8"?>
<sst xmlns="http://schemas.openxmlformats.org/spreadsheetml/2006/main" count="344" uniqueCount="137">
  <si>
    <t>=</t>
  </si>
  <si>
    <t>k</t>
  </si>
  <si>
    <t>m</t>
  </si>
  <si>
    <t>ti</t>
  </si>
  <si>
    <t>te</t>
  </si>
  <si>
    <t>°C</t>
  </si>
  <si>
    <t>k.(ti-te)</t>
  </si>
  <si>
    <r>
      <t>W.m</t>
    </r>
    <r>
      <rPr>
        <vertAlign val="superscript"/>
        <sz val="10"/>
        <color indexed="9"/>
        <rFont val="Arial CE"/>
        <family val="2"/>
      </rPr>
      <t>-1</t>
    </r>
    <r>
      <rPr>
        <sz val="10"/>
        <color indexed="9"/>
        <rFont val="Arial CE"/>
        <family val="0"/>
      </rPr>
      <t>.k</t>
    </r>
    <r>
      <rPr>
        <vertAlign val="superscript"/>
        <sz val="10"/>
        <color indexed="9"/>
        <rFont val="Arial CE"/>
        <family val="2"/>
      </rPr>
      <t>-1</t>
    </r>
  </si>
  <si>
    <t>r1</t>
  </si>
  <si>
    <t>r2</t>
  </si>
  <si>
    <t>r3</t>
  </si>
  <si>
    <t>a1</t>
  </si>
  <si>
    <t>a4</t>
  </si>
  <si>
    <t>l2</t>
  </si>
  <si>
    <t>l3</t>
  </si>
  <si>
    <t>k1</t>
  </si>
  <si>
    <t>k2</t>
  </si>
  <si>
    <t>k3</t>
  </si>
  <si>
    <t>k4</t>
  </si>
  <si>
    <t>t1</t>
  </si>
  <si>
    <t>t2</t>
  </si>
  <si>
    <t>t3</t>
  </si>
  <si>
    <t>t4</t>
  </si>
  <si>
    <t>t5</t>
  </si>
  <si>
    <t>q</t>
  </si>
  <si>
    <t>r4</t>
  </si>
  <si>
    <t>r5</t>
  </si>
  <si>
    <t>lpp</t>
  </si>
  <si>
    <t>r6</t>
  </si>
  <si>
    <t>r7</t>
  </si>
  <si>
    <t>k5</t>
  </si>
  <si>
    <t>k6</t>
  </si>
  <si>
    <t>k7</t>
  </si>
  <si>
    <t>t6</t>
  </si>
  <si>
    <t>t7</t>
  </si>
  <si>
    <t>t8</t>
  </si>
  <si>
    <t>r8</t>
  </si>
  <si>
    <t>VÝPOČET</t>
  </si>
  <si>
    <t>TISK</t>
  </si>
  <si>
    <t>tp1</t>
  </si>
  <si>
    <t>tp2</t>
  </si>
  <si>
    <t>r</t>
  </si>
  <si>
    <t>V</t>
  </si>
  <si>
    <t>m3/h</t>
  </si>
  <si>
    <t>m3/s</t>
  </si>
  <si>
    <t>v</t>
  </si>
  <si>
    <t>D</t>
  </si>
  <si>
    <r>
      <t>a</t>
    </r>
    <r>
      <rPr>
        <sz val="10"/>
        <color indexed="9"/>
        <rFont val="Arial CE"/>
        <family val="0"/>
      </rPr>
      <t>1</t>
    </r>
  </si>
  <si>
    <t>souč. přestupu tepla na vnitřním povrchu</t>
  </si>
  <si>
    <t>Re</t>
  </si>
  <si>
    <t>Pa.s</t>
  </si>
  <si>
    <t>ca(t)=</t>
  </si>
  <si>
    <t>cd=</t>
  </si>
  <si>
    <t>lo(při 0°C)=</t>
  </si>
  <si>
    <t>K</t>
  </si>
  <si>
    <t>pa</t>
  </si>
  <si>
    <t>Pa</t>
  </si>
  <si>
    <t>exp(23,58-4044,2/(235,6+te))</t>
  </si>
  <si>
    <t>4044,2/(23,58-ln(pder))-235,6</t>
  </si>
  <si>
    <t>kg/kg s.v.</t>
  </si>
  <si>
    <t>pa/(461,5.T).(1+x)/(0,622+x)</t>
  </si>
  <si>
    <r>
      <t>j</t>
    </r>
    <r>
      <rPr>
        <sz val="10"/>
        <color indexed="9"/>
        <rFont val="Arial CE"/>
        <family val="0"/>
      </rPr>
      <t>i</t>
    </r>
  </si>
  <si>
    <r>
      <t>J.kg</t>
    </r>
    <r>
      <rPr>
        <vertAlign val="superscript"/>
        <sz val="10"/>
        <color indexed="9"/>
        <rFont val="Arial CE"/>
        <family val="2"/>
      </rPr>
      <t>-1</t>
    </r>
    <r>
      <rPr>
        <sz val="10"/>
        <color indexed="9"/>
        <rFont val="Arial CE"/>
        <family val="0"/>
      </rPr>
      <t>.k</t>
    </r>
    <r>
      <rPr>
        <vertAlign val="superscript"/>
        <sz val="10"/>
        <color indexed="9"/>
        <rFont val="Arial CE"/>
        <family val="2"/>
      </rPr>
      <t>-1</t>
    </r>
  </si>
  <si>
    <r>
      <t>J.kg</t>
    </r>
    <r>
      <rPr>
        <vertAlign val="superscript"/>
        <sz val="10"/>
        <color indexed="9"/>
        <rFont val="Arial CE"/>
        <family val="2"/>
      </rPr>
      <t>-1</t>
    </r>
  </si>
  <si>
    <r>
      <t>kg/m</t>
    </r>
    <r>
      <rPr>
        <vertAlign val="superscript"/>
        <sz val="10"/>
        <color indexed="9"/>
        <rFont val="Arial CE"/>
        <family val="2"/>
      </rPr>
      <t>3</t>
    </r>
  </si>
  <si>
    <t>p´´d</t>
  </si>
  <si>
    <t>pd</t>
  </si>
  <si>
    <r>
      <t>f</t>
    </r>
    <r>
      <rPr>
        <sz val="10"/>
        <color indexed="9"/>
        <rFont val="Arial CE"/>
        <family val="0"/>
      </rPr>
      <t>.p´´d</t>
    </r>
  </si>
  <si>
    <r>
      <t>0,622.</t>
    </r>
    <r>
      <rPr>
        <sz val="10"/>
        <color indexed="9"/>
        <rFont val="GreekC"/>
        <family val="0"/>
      </rPr>
      <t>f</t>
    </r>
    <r>
      <rPr>
        <sz val="10"/>
        <color indexed="9"/>
        <rFont val="Arial CE"/>
        <family val="0"/>
      </rPr>
      <t>.p´´d/(pa-</t>
    </r>
    <r>
      <rPr>
        <sz val="10"/>
        <color indexed="9"/>
        <rFont val="GreekC"/>
        <family val="0"/>
      </rPr>
      <t>f</t>
    </r>
    <r>
      <rPr>
        <sz val="10"/>
        <color indexed="9"/>
        <rFont val="Arial CE"/>
        <family val="0"/>
      </rPr>
      <t>.p´´d)</t>
    </r>
  </si>
  <si>
    <t>tr</t>
  </si>
  <si>
    <t>vstupní podmínky:</t>
  </si>
  <si>
    <t>x</t>
  </si>
  <si>
    <t>Ti</t>
  </si>
  <si>
    <r>
      <t>v.D/</t>
    </r>
    <r>
      <rPr>
        <sz val="10"/>
        <color indexed="9"/>
        <rFont val="Symbol"/>
        <family val="1"/>
      </rPr>
      <t>n</t>
    </r>
  </si>
  <si>
    <t>n</t>
  </si>
  <si>
    <t>m/r</t>
  </si>
  <si>
    <r>
      <t>m</t>
    </r>
    <r>
      <rPr>
        <vertAlign val="superscript"/>
        <sz val="10"/>
        <color indexed="9"/>
        <rFont val="Arial CE"/>
        <family val="2"/>
      </rPr>
      <t>2</t>
    </r>
    <r>
      <rPr>
        <sz val="10"/>
        <color indexed="9"/>
        <rFont val="Arial CE"/>
        <family val="0"/>
      </rPr>
      <t>/s</t>
    </r>
  </si>
  <si>
    <r>
      <t>e</t>
    </r>
    <r>
      <rPr>
        <sz val="10"/>
        <color indexed="9"/>
        <rFont val="Arial CE"/>
        <family val="0"/>
      </rPr>
      <t>t.</t>
    </r>
    <r>
      <rPr>
        <sz val="10"/>
        <color indexed="9"/>
        <rFont val="Symbol"/>
        <family val="1"/>
      </rPr>
      <t>e</t>
    </r>
    <r>
      <rPr>
        <sz val="10"/>
        <color indexed="9"/>
        <rFont val="Arial CE"/>
        <family val="0"/>
      </rPr>
      <t>l.Z.w</t>
    </r>
    <r>
      <rPr>
        <vertAlign val="superscript"/>
        <sz val="10"/>
        <color indexed="9"/>
        <rFont val="Arial CE"/>
        <family val="2"/>
      </rPr>
      <t>0,8</t>
    </r>
    <r>
      <rPr>
        <sz val="10"/>
        <color indexed="9"/>
        <rFont val="Arial CE"/>
        <family val="0"/>
      </rPr>
      <t>/D</t>
    </r>
    <r>
      <rPr>
        <vertAlign val="superscript"/>
        <sz val="10"/>
        <color indexed="9"/>
        <rFont val="Arial CE"/>
        <family val="2"/>
      </rPr>
      <t>0.2</t>
    </r>
  </si>
  <si>
    <r>
      <t>e</t>
    </r>
    <r>
      <rPr>
        <sz val="10"/>
        <color indexed="9"/>
        <rFont val="Arial CE"/>
        <family val="0"/>
      </rPr>
      <t>l</t>
    </r>
  </si>
  <si>
    <t>Z</t>
  </si>
  <si>
    <t>W/(m2.K)</t>
  </si>
  <si>
    <t>a2</t>
  </si>
  <si>
    <r>
      <t>2.</t>
    </r>
    <r>
      <rPr>
        <sz val="10"/>
        <color indexed="9"/>
        <rFont val="Symbol"/>
        <family val="1"/>
      </rPr>
      <t>D</t>
    </r>
    <r>
      <rPr>
        <sz val="10"/>
        <color indexed="9"/>
        <rFont val="Arial CE"/>
        <family val="0"/>
      </rPr>
      <t>t</t>
    </r>
    <r>
      <rPr>
        <vertAlign val="superscript"/>
        <sz val="10"/>
        <color indexed="9"/>
        <rFont val="Arial CE"/>
        <family val="2"/>
      </rPr>
      <t>0,25</t>
    </r>
  </si>
  <si>
    <t>zvýšení teploty povrchu oproti okolí</t>
  </si>
  <si>
    <r>
      <t>D</t>
    </r>
    <r>
      <rPr>
        <sz val="10"/>
        <color indexed="9"/>
        <rFont val="Arial CE"/>
        <family val="0"/>
      </rPr>
      <t>t</t>
    </r>
  </si>
  <si>
    <r>
      <t>l</t>
    </r>
    <r>
      <rPr>
        <sz val="10"/>
        <color indexed="9"/>
        <rFont val="Arial CE"/>
        <family val="0"/>
      </rPr>
      <t>pl</t>
    </r>
  </si>
  <si>
    <r>
      <t>l</t>
    </r>
    <r>
      <rPr>
        <sz val="10"/>
        <color indexed="9"/>
        <rFont val="Arial CE"/>
        <family val="0"/>
      </rPr>
      <t>iz</t>
    </r>
  </si>
  <si>
    <t>STANOVENÍ KONDENZACE NA VNITŘNÍM POVRCHU KRUHOVÉHO VZDUCHOVODU</t>
  </si>
  <si>
    <t>e</t>
  </si>
  <si>
    <t>VÝSLEDKY:</t>
  </si>
  <si>
    <t>trp1</t>
  </si>
  <si>
    <t>ZÁVĚR:</t>
  </si>
  <si>
    <t>ZADÁNÍ:</t>
  </si>
  <si>
    <r>
      <t>W.m</t>
    </r>
    <r>
      <rPr>
        <vertAlign val="superscript"/>
        <sz val="10"/>
        <color indexed="9"/>
        <rFont val="Arial CE"/>
        <family val="2"/>
      </rPr>
      <t>-1</t>
    </r>
  </si>
  <si>
    <t>[ - ]</t>
  </si>
  <si>
    <t>Provádí se posouzení izolace z hlediska zamezení vzniku kondenzace na vnitřním povrchu vzduchovodu.</t>
  </si>
  <si>
    <t>objemový průtok vzduchu:</t>
  </si>
  <si>
    <t xml:space="preserve">rychlost vzduchu: </t>
  </si>
  <si>
    <t>tl. tepel. izolace:</t>
  </si>
  <si>
    <t>tl. plechu:</t>
  </si>
  <si>
    <t>délka vzduchovodu:</t>
  </si>
  <si>
    <t>tepelná vodivost materiálu vzduchovodu:</t>
  </si>
  <si>
    <t>tepelná vodivost tepelné izolace vzduchovodu:</t>
  </si>
  <si>
    <t>emisivita vnějšího povrchu vzduchovodu:</t>
  </si>
  <si>
    <t>teplota na vniřním povrchu vzduchovodu:</t>
  </si>
  <si>
    <t>teplota rosného bodu pro dané podmínky:</t>
  </si>
  <si>
    <r>
      <t>l</t>
    </r>
    <r>
      <rPr>
        <sz val="10"/>
        <rFont val="Arial CE"/>
        <family val="0"/>
      </rPr>
      <t>pl</t>
    </r>
  </si>
  <si>
    <r>
      <t>W.m</t>
    </r>
    <r>
      <rPr>
        <vertAlign val="superscript"/>
        <sz val="10"/>
        <rFont val="Arial CE"/>
        <family val="2"/>
      </rPr>
      <t>-1</t>
    </r>
    <r>
      <rPr>
        <sz val="10"/>
        <rFont val="Arial CE"/>
        <family val="0"/>
      </rPr>
      <t>.k</t>
    </r>
    <r>
      <rPr>
        <vertAlign val="superscript"/>
        <sz val="10"/>
        <rFont val="Arial CE"/>
        <family val="2"/>
      </rPr>
      <t>-1</t>
    </r>
  </si>
  <si>
    <r>
      <t>l</t>
    </r>
    <r>
      <rPr>
        <sz val="10"/>
        <rFont val="Arial CE"/>
        <family val="0"/>
      </rPr>
      <t>iz</t>
    </r>
  </si>
  <si>
    <r>
      <t>j</t>
    </r>
    <r>
      <rPr>
        <sz val="10"/>
        <rFont val="Arial CE"/>
        <family val="0"/>
      </rPr>
      <t>i</t>
    </r>
  </si>
  <si>
    <r>
      <t>W/(m</t>
    </r>
    <r>
      <rPr>
        <vertAlign val="superscript"/>
        <sz val="10"/>
        <color indexed="9"/>
        <rFont val="Arial CE"/>
        <family val="2"/>
      </rPr>
      <t>2</t>
    </r>
    <r>
      <rPr>
        <sz val="10"/>
        <color indexed="9"/>
        <rFont val="Arial CE"/>
        <family val="0"/>
      </rPr>
      <t>.K)</t>
    </r>
  </si>
  <si>
    <r>
      <t>tl</t>
    </r>
    <r>
      <rPr>
        <sz val="8"/>
        <color indexed="9"/>
        <rFont val="Arial CE"/>
        <family val="2"/>
      </rPr>
      <t>1</t>
    </r>
  </si>
  <si>
    <r>
      <t>tl</t>
    </r>
    <r>
      <rPr>
        <sz val="8"/>
        <color indexed="9"/>
        <rFont val="Arial CE"/>
        <family val="2"/>
      </rPr>
      <t>2</t>
    </r>
  </si>
  <si>
    <t>tpp</t>
  </si>
  <si>
    <t xml:space="preserve"> - výpočet předpokládá vedení vzduchovodu uzavřeným, například půdním,  prostorem, kde nevzniká významné proudění vzduchu</t>
  </si>
  <si>
    <t xml:space="preserve"> - výpočet předpokládá kruhový průřez vzduchovodu</t>
  </si>
  <si>
    <t xml:space="preserve"> - jsou využívány výpočtové vztahy uvedené v literatuře: Technický průvodce Větrání a klimatizace, J. Chyský, K.Hemzal a kol.</t>
  </si>
  <si>
    <t>Vypracoval: Ing. Ondřej Šikula</t>
  </si>
  <si>
    <t>Podmínky výpočtu:</t>
  </si>
  <si>
    <t xml:space="preserve"> - v zelených rámečcích se zadávají vstupní hodnoty</t>
  </si>
  <si>
    <t xml:space="preserve"> - v červených rámečcích se zobrazují výsledky</t>
  </si>
  <si>
    <t xml:space="preserve"> -  provádí se posouzení  z hlediska zamezení vzniku kondenzace na vnitřním povrchu vzduchovodu a to porovnáním teploty vnitřního povrchu vzduchovodu s teplotou rosného bodu při zvolených podmínkách.</t>
  </si>
  <si>
    <r>
      <t>W.m</t>
    </r>
    <r>
      <rPr>
        <vertAlign val="superscript"/>
        <sz val="10"/>
        <color indexed="9"/>
        <rFont val="Arial CE"/>
        <family val="2"/>
      </rPr>
      <t>-2</t>
    </r>
    <r>
      <rPr>
        <sz val="10"/>
        <color indexed="9"/>
        <rFont val="Arial CE"/>
        <family val="0"/>
      </rPr>
      <t>.k</t>
    </r>
    <r>
      <rPr>
        <vertAlign val="superscript"/>
        <sz val="10"/>
        <color indexed="9"/>
        <rFont val="Arial CE"/>
        <family val="2"/>
      </rPr>
      <t>-1</t>
    </r>
  </si>
  <si>
    <t>průměr vnitřního potrubí:</t>
  </si>
  <si>
    <t xml:space="preserve"> - při zadávání emisivity vnějšího pláště vzduchovodu je vhodné zohlednit znečištění, čí korozi tohoto vnějšího pláště navýšením součinitele emisivity</t>
  </si>
  <si>
    <t>Nápověda k výpočtu_1:</t>
  </si>
  <si>
    <t xml:space="preserve">Posuzovaný případ z hlediska vzniku kondenzace na vnitřním povrchu potrubí: </t>
  </si>
  <si>
    <t xml:space="preserve">Posuzovaný případ z hlediska vzniku kondenzace na vnitřním povrchu potrubí:  </t>
  </si>
  <si>
    <r>
      <t xml:space="preserve"> - výpočet neobsahuje žádné rezervy na stranu bezpečnou, jejich volba je plně ponechána na vůli uživatele, doporučuje se udržet teplotu </t>
    </r>
    <r>
      <rPr>
        <b/>
        <sz val="10"/>
        <color indexed="9"/>
        <rFont val="Arial CE"/>
        <family val="2"/>
      </rPr>
      <t>tp1</t>
    </r>
    <r>
      <rPr>
        <sz val="10"/>
        <color indexed="9"/>
        <rFont val="Arial CE"/>
        <family val="2"/>
      </rPr>
      <t xml:space="preserve"> o 1K vyšší než teplotu </t>
    </r>
    <r>
      <rPr>
        <b/>
        <sz val="10"/>
        <color indexed="9"/>
        <rFont val="Arial CE"/>
        <family val="2"/>
      </rPr>
      <t>trp1</t>
    </r>
  </si>
  <si>
    <t xml:space="preserve">Ke kondenzaci vodní páry na vnitřním povrchu potrubí:  </t>
  </si>
  <si>
    <t>mm</t>
  </si>
  <si>
    <t xml:space="preserve"> - v šedých rámečcích se zobrazují kontrolní hodnoty</t>
  </si>
  <si>
    <t xml:space="preserve"> - součinitel přestupu tepla na vnitřním povrchu vzduchovodu je stanoven kriteriálními rovnicemi pro turbulentní proudění vzduchu.</t>
  </si>
  <si>
    <t xml:space="preserve"> - součinitel přestupu tepla na vnějším povrchu vzduchovodu je stanoven kriteriálními rovnicemi pro výpočet přirozené konvekce a rovnicí pro výpočet přenosu tepla radiací</t>
  </si>
  <si>
    <t xml:space="preserve"> - při použití vzduchotechnického potrubí které má perforovaný vnitřní povrch, například Sonodec, může docházet ke kondenzaci vodní páry v tepelné izolaci. Odvádění tohoto kondenzátu je pak nutné řešit vhodným tvarováním trasy potrubí tak, aby nezatékal do ventilátoru. Při takovémto stavu je pak nutné ve výpočtu zadávat vyšší součinitel tepelné vodivosti izolace v důsledku jejího navlhání. Další možností je výpočet dle příkladu "2_Kondenzace v izolaci".</t>
  </si>
  <si>
    <t>NÁZEV AKCE:</t>
  </si>
  <si>
    <t>Koupelna</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</si>
</sst>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0.0"/>
    <numFmt numFmtId="176" formatCode="0.00000"/>
    <numFmt numFmtId="177" formatCode="0.0000"/>
    <numFmt numFmtId="178" formatCode="0.000"/>
  </numFmts>
  <fonts count="24">
    <font>
      <sz val="10"/>
      <name val="Arial CE"/>
      <family val="0"/>
    </font>
    <font>
      <u val="single"/>
      <sz val="10"/>
      <color indexed="12"/>
      <name val="Arial CE"/>
      <family val="0"/>
    </font>
    <font>
      <u val="single"/>
      <sz val="10"/>
      <color indexed="36"/>
      <name val="Arial CE"/>
      <family val="0"/>
    </font>
    <font>
      <sz val="10"/>
      <color indexed="9"/>
      <name val="Arial CE"/>
      <family val="0"/>
    </font>
    <font>
      <sz val="10"/>
      <color indexed="9"/>
      <name val="GreekC"/>
      <family val="0"/>
    </font>
    <font>
      <vertAlign val="superscript"/>
      <sz val="10"/>
      <color indexed="9"/>
      <name val="Arial CE"/>
      <family val="2"/>
    </font>
    <font>
      <sz val="10"/>
      <color indexed="9"/>
      <name val="Symbol"/>
      <family val="1"/>
    </font>
    <font>
      <b/>
      <sz val="10"/>
      <color indexed="9"/>
      <name val="Arial CE"/>
      <family val="2"/>
    </font>
    <font>
      <b/>
      <sz val="10"/>
      <color indexed="53"/>
      <name val="Arial CE"/>
      <family val="2"/>
    </font>
    <font>
      <b/>
      <sz val="11"/>
      <color indexed="53"/>
      <name val="Arial CE"/>
      <family val="2"/>
    </font>
    <font>
      <sz val="11"/>
      <color indexed="9"/>
      <name val="Arial CE"/>
      <family val="2"/>
    </font>
    <font>
      <sz val="9"/>
      <color indexed="9"/>
      <name val="Arial CE"/>
      <family val="2"/>
    </font>
    <font>
      <b/>
      <sz val="11"/>
      <name val="Arial CE"/>
      <family val="2"/>
    </font>
    <font>
      <sz val="11"/>
      <name val="Arial CE"/>
      <family val="2"/>
    </font>
    <font>
      <sz val="9"/>
      <name val="Arial CE"/>
      <family val="2"/>
    </font>
    <font>
      <b/>
      <sz val="10"/>
      <name val="Arial CE"/>
      <family val="2"/>
    </font>
    <font>
      <sz val="10"/>
      <name val="Symbol"/>
      <family val="1"/>
    </font>
    <font>
      <vertAlign val="superscript"/>
      <sz val="10"/>
      <name val="Arial CE"/>
      <family val="2"/>
    </font>
    <font>
      <sz val="10"/>
      <name val="GreekC"/>
      <family val="0"/>
    </font>
    <font>
      <sz val="8"/>
      <color indexed="9"/>
      <name val="Arial CE"/>
      <family val="2"/>
    </font>
    <font>
      <b/>
      <sz val="8"/>
      <name val="Tahoma"/>
      <family val="0"/>
    </font>
    <font>
      <b/>
      <sz val="8"/>
      <name val="Symbol"/>
      <family val="1"/>
    </font>
    <font>
      <b/>
      <sz val="10"/>
      <name val="Symbol"/>
      <family val="1"/>
    </font>
    <font>
      <b/>
      <sz val="8"/>
      <name val="Arial CE"/>
      <family val="2"/>
    </font>
  </fonts>
  <fills count="10">
    <fill>
      <patternFill/>
    </fill>
    <fill>
      <patternFill patternType="gray125"/>
    </fill>
    <fill>
      <patternFill patternType="solid">
        <fgColor indexed="8"/>
        <bgColor indexed="64"/>
      </patternFill>
    </fill>
    <fill>
      <patternFill patternType="solid">
        <fgColor indexed="12"/>
        <bgColor indexed="64"/>
      </patternFill>
    </fill>
    <fill>
      <patternFill patternType="solid">
        <fgColor indexed="17"/>
        <bgColor indexed="64"/>
      </patternFill>
    </fill>
    <fill>
      <patternFill patternType="solid">
        <fgColor indexed="56"/>
        <bgColor indexed="64"/>
      </patternFill>
    </fill>
    <fill>
      <patternFill patternType="solid">
        <fgColor indexed="63"/>
        <bgColor indexed="64"/>
      </patternFill>
    </fill>
    <fill>
      <patternFill patternType="solid">
        <fgColor indexed="60"/>
        <bgColor indexed="64"/>
      </patternFill>
    </fill>
    <fill>
      <patternFill patternType="solid">
        <fgColor indexed="57"/>
        <bgColor indexed="64"/>
      </patternFill>
    </fill>
    <fill>
      <patternFill patternType="solid">
        <fgColor indexed="16"/>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201">
    <xf numFmtId="0" fontId="0" fillId="0" borderId="0" xfId="0" applyAlignment="1">
      <alignment/>
    </xf>
    <xf numFmtId="0" fontId="3" fillId="2" borderId="0" xfId="0" applyFont="1" applyFill="1" applyAlignment="1">
      <alignment/>
    </xf>
    <xf numFmtId="175" fontId="3" fillId="3" borderId="0" xfId="0" applyNumberFormat="1" applyFont="1" applyFill="1" applyBorder="1" applyAlignment="1" applyProtection="1">
      <alignment horizontal="center"/>
      <protection hidden="1"/>
    </xf>
    <xf numFmtId="0" fontId="3" fillId="2" borderId="0" xfId="0" applyFont="1" applyFill="1" applyAlignment="1">
      <alignment vertical="center" wrapText="1"/>
    </xf>
    <xf numFmtId="0" fontId="7" fillId="2" borderId="0" xfId="0" applyFont="1" applyFill="1" applyAlignment="1">
      <alignment/>
    </xf>
    <xf numFmtId="0" fontId="3" fillId="4" borderId="0" xfId="0" applyFont="1" applyFill="1" applyAlignment="1" applyProtection="1">
      <alignment horizontal="center" vertical="center"/>
      <protection hidden="1" locked="0"/>
    </xf>
    <xf numFmtId="178" fontId="3" fillId="2" borderId="0" xfId="0" applyNumberFormat="1" applyFont="1" applyFill="1" applyAlignment="1" applyProtection="1">
      <alignment horizontal="center" vertical="center"/>
      <protection hidden="1"/>
    </xf>
    <xf numFmtId="175" fontId="3" fillId="2" borderId="0" xfId="0" applyNumberFormat="1" applyFont="1" applyFill="1" applyAlignment="1" applyProtection="1">
      <alignment horizontal="center" vertical="center"/>
      <protection hidden="1"/>
    </xf>
    <xf numFmtId="0" fontId="3" fillId="2" borderId="0" xfId="0" applyFont="1" applyFill="1" applyAlignment="1" applyProtection="1">
      <alignment horizontal="left"/>
      <protection hidden="1"/>
    </xf>
    <xf numFmtId="0" fontId="13" fillId="0" borderId="0" xfId="0" applyFont="1" applyFill="1" applyAlignment="1" applyProtection="1">
      <alignment/>
      <protection hidden="1"/>
    </xf>
    <xf numFmtId="0" fontId="13" fillId="0" borderId="0" xfId="0" applyFont="1" applyFill="1" applyAlignment="1" applyProtection="1">
      <alignment horizontal="right"/>
      <protection hidden="1"/>
    </xf>
    <xf numFmtId="0" fontId="13" fillId="0" borderId="0" xfId="0" applyFont="1" applyFill="1" applyAlignment="1" applyProtection="1">
      <alignment horizontal="center"/>
      <protection hidden="1"/>
    </xf>
    <xf numFmtId="0" fontId="13" fillId="0" borderId="0" xfId="0" applyFont="1" applyFill="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right"/>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15" fillId="0" borderId="1" xfId="0" applyFont="1" applyFill="1" applyBorder="1" applyAlignment="1" applyProtection="1">
      <alignment/>
      <protection hidden="1"/>
    </xf>
    <xf numFmtId="0" fontId="0" fillId="0" borderId="2" xfId="0" applyFont="1" applyFill="1" applyBorder="1" applyAlignment="1" applyProtection="1">
      <alignment horizontal="right" vertical="center"/>
      <protection hidden="1"/>
    </xf>
    <xf numFmtId="0" fontId="0" fillId="0" borderId="2" xfId="0" applyFont="1" applyFill="1" applyBorder="1" applyAlignment="1" applyProtection="1">
      <alignment horizontal="center" vertical="center"/>
      <protection hidden="1"/>
    </xf>
    <xf numFmtId="0" fontId="0" fillId="0" borderId="2" xfId="0" applyFont="1" applyFill="1" applyBorder="1" applyAlignment="1" applyProtection="1">
      <alignment horizontal="left" vertical="center"/>
      <protection hidden="1"/>
    </xf>
    <xf numFmtId="0" fontId="0" fillId="0" borderId="2" xfId="0" applyFont="1" applyFill="1" applyBorder="1" applyAlignment="1" applyProtection="1">
      <alignment horizontal="left"/>
      <protection hidden="1"/>
    </xf>
    <xf numFmtId="0" fontId="0" fillId="0" borderId="2" xfId="0" applyFont="1" applyFill="1" applyBorder="1" applyAlignment="1" applyProtection="1">
      <alignment horizontal="center"/>
      <protection hidden="1"/>
    </xf>
    <xf numFmtId="0" fontId="0" fillId="0" borderId="2" xfId="0" applyFont="1" applyFill="1" applyBorder="1" applyAlignment="1" applyProtection="1">
      <alignment horizontal="right"/>
      <protection hidden="1"/>
    </xf>
    <xf numFmtId="0" fontId="0" fillId="0" borderId="3" xfId="0" applyFont="1" applyFill="1" applyBorder="1" applyAlignment="1" applyProtection="1">
      <alignment horizont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right"/>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horizontal="left"/>
      <protection hidden="1"/>
    </xf>
    <xf numFmtId="0" fontId="15" fillId="0" borderId="0" xfId="0" applyFont="1" applyFill="1" applyBorder="1" applyAlignment="1" applyProtection="1">
      <alignment/>
      <protection hidden="1"/>
    </xf>
    <xf numFmtId="0" fontId="0"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horizontal="right"/>
      <protection hidden="1"/>
    </xf>
    <xf numFmtId="0" fontId="14" fillId="0" borderId="0" xfId="0" applyFont="1" applyFill="1" applyAlignment="1" applyProtection="1">
      <alignment vertical="center" wrapText="1"/>
      <protection hidden="1"/>
    </xf>
    <xf numFmtId="0" fontId="16" fillId="0" borderId="0" xfId="0" applyFont="1" applyFill="1" applyAlignment="1" applyProtection="1">
      <alignment horizontal="right"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right"/>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Fill="1" applyAlignment="1" applyProtection="1">
      <alignment/>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11" fontId="0" fillId="0" borderId="0" xfId="0" applyNumberFormat="1" applyFont="1" applyFill="1" applyBorder="1" applyAlignment="1" applyProtection="1">
      <alignment horizontal="center"/>
      <protection hidden="1"/>
    </xf>
    <xf numFmtId="0" fontId="0" fillId="0" borderId="2" xfId="0" applyFont="1" applyFill="1" applyBorder="1" applyAlignment="1" applyProtection="1">
      <alignment/>
      <protection hidden="1"/>
    </xf>
    <xf numFmtId="0" fontId="0" fillId="0" borderId="2" xfId="0" applyFont="1" applyFill="1" applyBorder="1" applyAlignment="1" applyProtection="1">
      <alignment horizontal="center" vertical="center"/>
      <protection hidden="1"/>
    </xf>
    <xf numFmtId="11"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center" vertical="center"/>
      <protection hidden="1"/>
    </xf>
    <xf numFmtId="0" fontId="15" fillId="0" borderId="0" xfId="0" applyFont="1" applyFill="1" applyAlignment="1" applyProtection="1">
      <alignment horizontal="right" vertical="center"/>
      <protection hidden="1"/>
    </xf>
    <xf numFmtId="175" fontId="15" fillId="0" borderId="0" xfId="0" applyNumberFormat="1"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0" fillId="0" borderId="0" xfId="0" applyFont="1" applyFill="1" applyBorder="1" applyAlignment="1" applyProtection="1">
      <alignment horizontal="center"/>
      <protection hidden="1"/>
    </xf>
    <xf numFmtId="11" fontId="0" fillId="0" borderId="0" xfId="0" applyNumberFormat="1" applyFont="1" applyFill="1" applyBorder="1" applyAlignment="1" applyProtection="1">
      <alignment horizontal="center"/>
      <protection hidden="1"/>
    </xf>
    <xf numFmtId="0" fontId="0" fillId="0" borderId="0" xfId="0" applyFont="1" applyFill="1" applyAlignment="1" applyProtection="1">
      <alignment vertical="center" wrapText="1"/>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left"/>
      <protection hidden="1"/>
    </xf>
    <xf numFmtId="0" fontId="15" fillId="0" borderId="1" xfId="0" applyFont="1" applyFill="1" applyBorder="1" applyAlignment="1" applyProtection="1">
      <alignment vertical="center" wrapText="1"/>
      <protection hidden="1"/>
    </xf>
    <xf numFmtId="2" fontId="0" fillId="0" borderId="2" xfId="0" applyNumberFormat="1" applyFont="1" applyFill="1" applyBorder="1" applyAlignment="1" applyProtection="1">
      <alignment horizontal="center" vertical="center"/>
      <protection hidden="1"/>
    </xf>
    <xf numFmtId="0" fontId="15" fillId="0" borderId="0" xfId="0" applyFont="1" applyFill="1" applyAlignment="1" applyProtection="1">
      <alignment vertical="center" wrapText="1"/>
      <protection hidden="1"/>
    </xf>
    <xf numFmtId="0" fontId="0" fillId="0" borderId="0" xfId="0" applyFont="1" applyFill="1" applyAlignment="1" applyProtection="1">
      <alignment horizontal="right" vertical="center"/>
      <protection hidden="1"/>
    </xf>
    <xf numFmtId="2" fontId="0" fillId="0" borderId="0" xfId="0" applyNumberFormat="1"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0" fillId="0" borderId="4" xfId="0" applyFont="1" applyFill="1" applyBorder="1" applyAlignment="1" applyProtection="1">
      <alignment horizontal="center" vertical="center"/>
      <protection hidden="1"/>
    </xf>
    <xf numFmtId="0" fontId="15"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vertical="center" wrapText="1"/>
      <protection hidden="1"/>
    </xf>
    <xf numFmtId="0" fontId="0" fillId="0" borderId="0" xfId="0" applyFont="1" applyFill="1" applyAlignment="1" applyProtection="1">
      <alignment horizontal="righ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right"/>
      <protection hidden="1"/>
    </xf>
    <xf numFmtId="0" fontId="18" fillId="0" borderId="0" xfId="0" applyFont="1" applyFill="1" applyBorder="1" applyAlignment="1" applyProtection="1">
      <alignment horizontal="center"/>
      <protection hidden="1"/>
    </xf>
    <xf numFmtId="178"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horizontal="left"/>
      <protection hidden="1"/>
    </xf>
    <xf numFmtId="0" fontId="18" fillId="0" borderId="0" xfId="0" applyFont="1" applyFill="1" applyAlignment="1" applyProtection="1">
      <alignment horizontal="center"/>
      <protection hidden="1"/>
    </xf>
    <xf numFmtId="178"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3" fillId="2" borderId="0" xfId="0" applyFont="1" applyFill="1" applyAlignment="1" applyProtection="1">
      <alignment horizontal="left"/>
      <protection hidden="1"/>
    </xf>
    <xf numFmtId="0" fontId="10" fillId="2" borderId="0" xfId="0" applyFont="1" applyFill="1" applyAlignment="1" applyProtection="1">
      <alignment/>
      <protection hidden="1"/>
    </xf>
    <xf numFmtId="0" fontId="10" fillId="2" borderId="0" xfId="0" applyFont="1" applyFill="1" applyAlignment="1" applyProtection="1">
      <alignment horizontal="right"/>
      <protection hidden="1"/>
    </xf>
    <xf numFmtId="0" fontId="10" fillId="2" borderId="0" xfId="0" applyFont="1" applyFill="1" applyAlignment="1" applyProtection="1">
      <alignment horizontal="center"/>
      <protection hidden="1"/>
    </xf>
    <xf numFmtId="0" fontId="10" fillId="2" borderId="0" xfId="0" applyFont="1" applyFill="1" applyAlignment="1" applyProtection="1">
      <alignment horizontal="left"/>
      <protection hidden="1"/>
    </xf>
    <xf numFmtId="0" fontId="3" fillId="2" borderId="0" xfId="0" applyFont="1" applyFill="1" applyAlignment="1" applyProtection="1">
      <alignment/>
      <protection hidden="1"/>
    </xf>
    <xf numFmtId="0" fontId="3" fillId="2" borderId="0" xfId="0" applyFont="1" applyFill="1" applyAlignment="1" applyProtection="1">
      <alignment horizontal="right"/>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vertical="center"/>
      <protection hidden="1"/>
    </xf>
    <xf numFmtId="0" fontId="3" fillId="2" borderId="0" xfId="0" applyFont="1" applyFill="1" applyAlignment="1" applyProtection="1">
      <alignment horizontal="right" vertical="center"/>
      <protection hidden="1"/>
    </xf>
    <xf numFmtId="0" fontId="3" fillId="2" borderId="0" xfId="0"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8" fillId="5" borderId="0" xfId="0" applyFont="1" applyFill="1" applyAlignment="1" applyProtection="1">
      <alignment/>
      <protection hidden="1"/>
    </xf>
    <xf numFmtId="0" fontId="3" fillId="5" borderId="0" xfId="0" applyFont="1" applyFill="1" applyAlignment="1" applyProtection="1">
      <alignment horizontal="right" vertical="center"/>
      <protection hidden="1"/>
    </xf>
    <xf numFmtId="0" fontId="3" fillId="5" borderId="0" xfId="0" applyFont="1" applyFill="1" applyAlignment="1" applyProtection="1">
      <alignment horizontal="center" vertical="center"/>
      <protection hidden="1"/>
    </xf>
    <xf numFmtId="0" fontId="3" fillId="5" borderId="0" xfId="0" applyFont="1" applyFill="1" applyAlignment="1" applyProtection="1">
      <alignment horizontal="left" vertical="center"/>
      <protection hidden="1"/>
    </xf>
    <xf numFmtId="0" fontId="3" fillId="5" borderId="0" xfId="0" applyFont="1" applyFill="1" applyAlignment="1" applyProtection="1">
      <alignment horizontal="left"/>
      <protection hidden="1"/>
    </xf>
    <xf numFmtId="0" fontId="3" fillId="5" borderId="0" xfId="0" applyFont="1" applyFill="1" applyAlignment="1" applyProtection="1">
      <alignment horizontal="center"/>
      <protection hidden="1"/>
    </xf>
    <xf numFmtId="0" fontId="3" fillId="5" borderId="0" xfId="0" applyFont="1" applyFill="1" applyAlignment="1" applyProtection="1">
      <alignment horizontal="right"/>
      <protection hidden="1"/>
    </xf>
    <xf numFmtId="0" fontId="11" fillId="2" borderId="0" xfId="0" applyFont="1" applyFill="1" applyAlignment="1" applyProtection="1">
      <alignment vertical="center" wrapText="1"/>
      <protection hidden="1"/>
    </xf>
    <xf numFmtId="0" fontId="6" fillId="2" borderId="0" xfId="0" applyFont="1" applyFill="1" applyAlignment="1" applyProtection="1">
      <alignment horizontal="right" vertical="center"/>
      <protection hidden="1"/>
    </xf>
    <xf numFmtId="0" fontId="3" fillId="2" borderId="0" xfId="0" applyFont="1" applyFill="1" applyAlignment="1" applyProtection="1">
      <alignment horizontal="center"/>
      <protection hidden="1"/>
    </xf>
    <xf numFmtId="178" fontId="3" fillId="6" borderId="0" xfId="0" applyNumberFormat="1" applyFont="1" applyFill="1" applyAlignment="1" applyProtection="1">
      <alignment horizontal="center" vertical="center"/>
      <protection hidden="1"/>
    </xf>
    <xf numFmtId="175" fontId="3" fillId="6" borderId="0" xfId="0" applyNumberFormat="1" applyFont="1" applyFill="1" applyAlignment="1" applyProtection="1">
      <alignment horizontal="center" vertical="center"/>
      <protection hidden="1"/>
    </xf>
    <xf numFmtId="0" fontId="3" fillId="2" borderId="0" xfId="0" applyFont="1" applyFill="1" applyAlignment="1" applyProtection="1">
      <alignment/>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alignment horizontal="left"/>
      <protection hidden="1"/>
    </xf>
    <xf numFmtId="11" fontId="3" fillId="2" borderId="0" xfId="0" applyNumberFormat="1" applyFont="1" applyFill="1" applyBorder="1" applyAlignment="1" applyProtection="1">
      <alignment horizontal="center"/>
      <protection hidden="1"/>
    </xf>
    <xf numFmtId="0" fontId="3" fillId="5" borderId="0" xfId="0" applyFont="1" applyFill="1" applyAlignment="1" applyProtection="1">
      <alignment/>
      <protection hidden="1"/>
    </xf>
    <xf numFmtId="0" fontId="3" fillId="5" borderId="0" xfId="0" applyFont="1" applyFill="1" applyBorder="1" applyAlignment="1" applyProtection="1">
      <alignment horizontal="center"/>
      <protection hidden="1"/>
    </xf>
    <xf numFmtId="175" fontId="3" fillId="7" borderId="0" xfId="0" applyNumberFormat="1" applyFont="1" applyFill="1" applyAlignment="1" applyProtection="1">
      <alignment horizontal="center" vertical="center"/>
      <protection hidden="1"/>
    </xf>
    <xf numFmtId="175" fontId="3" fillId="2" borderId="0" xfId="0" applyNumberFormat="1" applyFont="1" applyFill="1" applyAlignment="1" applyProtection="1">
      <alignment horizontal="left"/>
      <protection hidden="1"/>
    </xf>
    <xf numFmtId="0" fontId="3" fillId="2" borderId="0" xfId="0" applyFont="1" applyFill="1" applyAlignment="1" applyProtection="1">
      <alignment vertical="center" wrapText="1"/>
      <protection hidden="1"/>
    </xf>
    <xf numFmtId="175" fontId="3" fillId="6" borderId="0" xfId="0" applyNumberFormat="1" applyFont="1" applyFill="1" applyBorder="1" applyAlignment="1" applyProtection="1">
      <alignment horizontal="center"/>
      <protection hidden="1"/>
    </xf>
    <xf numFmtId="0" fontId="8" fillId="5" borderId="0" xfId="0" applyFont="1" applyFill="1" applyAlignment="1" applyProtection="1">
      <alignment vertical="center" wrapText="1"/>
      <protection hidden="1"/>
    </xf>
    <xf numFmtId="2" fontId="3" fillId="5" borderId="0" xfId="0" applyNumberFormat="1" applyFont="1" applyFill="1" applyAlignment="1" applyProtection="1">
      <alignment horizontal="center" vertical="center"/>
      <protection hidden="1"/>
    </xf>
    <xf numFmtId="0" fontId="3" fillId="5" borderId="0" xfId="0" applyFont="1" applyFill="1" applyBorder="1" applyAlignment="1" applyProtection="1">
      <alignment horizontal="left"/>
      <protection hidden="1"/>
    </xf>
    <xf numFmtId="0" fontId="8" fillId="2" borderId="0" xfId="0" applyFont="1" applyFill="1" applyAlignment="1" applyProtection="1">
      <alignment vertical="center" wrapText="1"/>
      <protection hidden="1"/>
    </xf>
    <xf numFmtId="2" fontId="3" fillId="2" borderId="0" xfId="0" applyNumberFormat="1" applyFont="1" applyFill="1" applyAlignment="1" applyProtection="1">
      <alignment horizontal="center" vertical="center"/>
      <protection hidden="1"/>
    </xf>
    <xf numFmtId="0" fontId="3" fillId="7" borderId="0" xfId="0" applyFont="1" applyFill="1" applyAlignment="1" applyProtection="1">
      <alignment horizontal="center" vertical="center"/>
      <protection hidden="1"/>
    </xf>
    <xf numFmtId="0" fontId="7" fillId="7" borderId="0" xfId="0" applyFont="1" applyFill="1" applyAlignment="1" applyProtection="1">
      <alignment horizontal="center" vertical="center"/>
      <protection hidden="1"/>
    </xf>
    <xf numFmtId="0" fontId="3" fillId="2" borderId="7" xfId="0" applyFont="1" applyFill="1" applyBorder="1" applyAlignment="1" applyProtection="1">
      <alignment horizontal="center"/>
      <protection hidden="1"/>
    </xf>
    <xf numFmtId="0" fontId="3" fillId="2" borderId="7" xfId="0" applyFont="1" applyFill="1" applyBorder="1" applyAlignment="1" applyProtection="1">
      <alignment horizontal="left"/>
      <protection hidden="1"/>
    </xf>
    <xf numFmtId="0" fontId="3" fillId="2" borderId="0" xfId="0" applyFont="1" applyFill="1" applyAlignment="1" applyProtection="1">
      <alignment/>
      <protection hidden="1"/>
    </xf>
    <xf numFmtId="0" fontId="3" fillId="2" borderId="0" xfId="0" applyFont="1" applyFill="1" applyBorder="1" applyAlignment="1" applyProtection="1">
      <alignment/>
      <protection hidden="1"/>
    </xf>
    <xf numFmtId="0" fontId="3" fillId="2" borderId="1" xfId="0" applyFont="1" applyFill="1" applyBorder="1" applyAlignment="1" applyProtection="1">
      <alignment horizontal="right"/>
      <protection hidden="1"/>
    </xf>
    <xf numFmtId="1" fontId="3" fillId="2" borderId="2" xfId="0" applyNumberFormat="1" applyFont="1" applyFill="1" applyBorder="1" applyAlignment="1" applyProtection="1">
      <alignment horizontal="center"/>
      <protection hidden="1"/>
    </xf>
    <xf numFmtId="0" fontId="3" fillId="2" borderId="2" xfId="0" applyFont="1" applyFill="1" applyBorder="1" applyAlignment="1" applyProtection="1">
      <alignment horizontal="left"/>
      <protection hidden="1"/>
    </xf>
    <xf numFmtId="178" fontId="3" fillId="2" borderId="0" xfId="0" applyNumberFormat="1" applyFont="1" applyFill="1" applyAlignment="1" applyProtection="1">
      <alignment horizontal="center"/>
      <protection hidden="1"/>
    </xf>
    <xf numFmtId="0" fontId="3" fillId="2" borderId="0" xfId="0" applyFont="1" applyFill="1" applyBorder="1" applyAlignment="1" applyProtection="1">
      <alignment horizontal="right"/>
      <protection hidden="1"/>
    </xf>
    <xf numFmtId="0" fontId="3" fillId="2" borderId="2" xfId="0" applyFont="1" applyFill="1" applyBorder="1" applyAlignment="1" applyProtection="1">
      <alignment horizontal="right"/>
      <protection hidden="1"/>
    </xf>
    <xf numFmtId="0" fontId="3" fillId="2" borderId="2" xfId="0" applyFont="1" applyFill="1" applyBorder="1" applyAlignment="1" applyProtection="1">
      <alignment horizontal="center"/>
      <protection hidden="1"/>
    </xf>
    <xf numFmtId="11" fontId="3" fillId="2" borderId="2" xfId="0" applyNumberFormat="1" applyFont="1" applyFill="1" applyBorder="1" applyAlignment="1" applyProtection="1">
      <alignment horizontal="center"/>
      <protection hidden="1"/>
    </xf>
    <xf numFmtId="0" fontId="6" fillId="2" borderId="0" xfId="0" applyFont="1" applyFill="1" applyAlignment="1" applyProtection="1">
      <alignment horizontal="center" vertical="center"/>
      <protection hidden="1"/>
    </xf>
    <xf numFmtId="1" fontId="3" fillId="2" borderId="0" xfId="0" applyNumberFormat="1" applyFont="1" applyFill="1" applyAlignment="1" applyProtection="1">
      <alignment horizontal="center"/>
      <protection hidden="1"/>
    </xf>
    <xf numFmtId="0" fontId="4" fillId="2" borderId="0" xfId="0" applyFont="1" applyFill="1" applyAlignment="1" applyProtection="1">
      <alignment horizontal="center"/>
      <protection hidden="1"/>
    </xf>
    <xf numFmtId="2" fontId="3" fillId="2" borderId="0" xfId="0" applyNumberFormat="1" applyFont="1" applyFill="1" applyAlignment="1" applyProtection="1">
      <alignment horizontal="center"/>
      <protection hidden="1"/>
    </xf>
    <xf numFmtId="2" fontId="3" fillId="2" borderId="0" xfId="0" applyNumberFormat="1" applyFont="1" applyFill="1" applyBorder="1" applyAlignment="1" applyProtection="1">
      <alignment horizontal="center"/>
      <protection hidden="1"/>
    </xf>
    <xf numFmtId="176" fontId="3" fillId="2" borderId="0" xfId="0" applyNumberFormat="1" applyFont="1" applyFill="1" applyAlignment="1" applyProtection="1">
      <alignment horizontal="center"/>
      <protection hidden="1"/>
    </xf>
    <xf numFmtId="2" fontId="3" fillId="3" borderId="0" xfId="0" applyNumberFormat="1" applyFont="1" applyFill="1" applyAlignment="1" applyProtection="1">
      <alignment horizontal="center"/>
      <protection hidden="1"/>
    </xf>
    <xf numFmtId="0" fontId="6" fillId="2"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175" fontId="3" fillId="8" borderId="0" xfId="0" applyNumberFormat="1"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175" fontId="3" fillId="2" borderId="0" xfId="0" applyNumberFormat="1" applyFont="1" applyFill="1" applyAlignment="1" applyProtection="1">
      <alignment horizontal="center" vertical="center"/>
      <protection hidden="1"/>
    </xf>
    <xf numFmtId="0" fontId="3" fillId="2" borderId="8" xfId="0" applyFont="1" applyFill="1" applyBorder="1" applyAlignment="1" applyProtection="1">
      <alignment horizontal="center"/>
      <protection hidden="1"/>
    </xf>
    <xf numFmtId="11" fontId="3" fillId="2" borderId="9" xfId="0" applyNumberFormat="1" applyFont="1" applyFill="1" applyBorder="1" applyAlignment="1" applyProtection="1">
      <alignment horizontal="center"/>
      <protection hidden="1"/>
    </xf>
    <xf numFmtId="0" fontId="4" fillId="2" borderId="0" xfId="0" applyFont="1" applyFill="1" applyAlignment="1" applyProtection="1">
      <alignment horizontal="right"/>
      <protection hidden="1"/>
    </xf>
    <xf numFmtId="175" fontId="3" fillId="2" borderId="0" xfId="0" applyNumberFormat="1" applyFont="1" applyFill="1" applyAlignment="1" applyProtection="1">
      <alignment horizontal="center"/>
      <protection hidden="1"/>
    </xf>
    <xf numFmtId="0" fontId="4" fillId="2" borderId="0" xfId="0" applyFont="1" applyFill="1" applyAlignment="1" applyProtection="1">
      <alignment horizontal="right"/>
      <protection hidden="1"/>
    </xf>
    <xf numFmtId="1" fontId="3" fillId="2" borderId="0" xfId="0" applyNumberFormat="1"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178" fontId="3" fillId="2" borderId="0" xfId="0" applyNumberFormat="1" applyFont="1" applyFill="1" applyBorder="1" applyAlignment="1" applyProtection="1">
      <alignment horizontal="center"/>
      <protection hidden="1"/>
    </xf>
    <xf numFmtId="0" fontId="8" fillId="2" borderId="0" xfId="0" applyFont="1" applyFill="1" applyAlignment="1" applyProtection="1">
      <alignment horizontal="center" vertical="center" wrapText="1"/>
      <protection hidden="1"/>
    </xf>
    <xf numFmtId="0" fontId="15" fillId="0" borderId="0" xfId="0" applyFont="1" applyFill="1" applyBorder="1" applyAlignment="1" applyProtection="1">
      <alignment horizontal="center" vertical="center"/>
      <protection hidden="1"/>
    </xf>
    <xf numFmtId="0" fontId="15" fillId="0" borderId="0" xfId="0" applyFont="1" applyFill="1" applyAlignment="1" applyProtection="1">
      <alignment horizontal="right" vertical="center" wrapText="1"/>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0" fillId="0" borderId="0" xfId="0" applyFont="1" applyFill="1" applyAlignment="1" applyProtection="1">
      <alignment horizontal="left"/>
      <protection hidden="1"/>
    </xf>
    <xf numFmtId="178" fontId="0" fillId="0" borderId="0" xfId="0" applyNumberFormat="1" applyFont="1" applyFill="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vertical="center"/>
      <protection hidden="1"/>
    </xf>
    <xf numFmtId="9" fontId="0" fillId="0" borderId="0" xfId="0" applyNumberFormat="1" applyFont="1" applyFill="1" applyAlignment="1" applyProtection="1">
      <alignment horizontal="center" vertical="center"/>
      <protection hidden="1"/>
    </xf>
    <xf numFmtId="0" fontId="0" fillId="0" borderId="0" xfId="0" applyFont="1" applyFill="1" applyAlignment="1" applyProtection="1">
      <alignment horizontal="right" vertical="center"/>
      <protection hidden="1"/>
    </xf>
    <xf numFmtId="0" fontId="8" fillId="2" borderId="0" xfId="0" applyFont="1" applyFill="1" applyAlignment="1" applyProtection="1">
      <alignment horizontal="left" vertical="center"/>
      <protection hidden="1"/>
    </xf>
    <xf numFmtId="0" fontId="15" fillId="0" borderId="0" xfId="0" applyFont="1" applyFill="1" applyBorder="1" applyAlignment="1" applyProtection="1">
      <alignment horizontal="right" vertical="center" wrapText="1"/>
      <protection hidden="1"/>
    </xf>
    <xf numFmtId="175" fontId="0" fillId="0" borderId="0" xfId="0" applyNumberFormat="1"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locked="0"/>
    </xf>
    <xf numFmtId="0" fontId="0" fillId="0" borderId="0" xfId="0" applyNumberFormat="1" applyFont="1" applyFill="1" applyAlignment="1" applyProtection="1">
      <alignment horizontal="center" vertical="center"/>
      <protection hidden="1"/>
    </xf>
    <xf numFmtId="0" fontId="8" fillId="2" borderId="0" xfId="0" applyFont="1" applyFill="1" applyAlignment="1" applyProtection="1">
      <alignment horizontal="center"/>
      <protection hidden="1"/>
    </xf>
    <xf numFmtId="0" fontId="9" fillId="5" borderId="0" xfId="0" applyFont="1" applyFill="1" applyAlignment="1" applyProtection="1">
      <alignment horizontal="center" vertical="center"/>
      <protection hidden="1"/>
    </xf>
    <xf numFmtId="0" fontId="11" fillId="2" borderId="0" xfId="0" applyFont="1" applyFill="1" applyAlignment="1" applyProtection="1">
      <alignment horizontal="left" vertical="center" wrapText="1"/>
      <protection hidden="1"/>
    </xf>
    <xf numFmtId="0" fontId="7" fillId="9" borderId="0" xfId="0" applyFont="1" applyFill="1" applyAlignment="1" applyProtection="1">
      <alignment horizontal="center" vertical="center"/>
      <protection hidden="1"/>
    </xf>
    <xf numFmtId="0" fontId="11" fillId="5" borderId="0" xfId="0" applyFont="1" applyFill="1" applyAlignment="1" applyProtection="1">
      <alignment horizontal="center" vertical="center"/>
      <protection hidden="1"/>
    </xf>
    <xf numFmtId="0" fontId="3" fillId="2" borderId="0" xfId="0" applyFont="1" applyFill="1" applyAlignment="1" applyProtection="1">
      <alignment horizontal="right" vertical="center" wrapText="1"/>
      <protection hidden="1"/>
    </xf>
    <xf numFmtId="0" fontId="3" fillId="4" borderId="0" xfId="0" applyFont="1" applyFill="1" applyAlignment="1" applyProtection="1">
      <alignment horizontal="left" vertical="center"/>
      <protection locked="0"/>
    </xf>
    <xf numFmtId="0" fontId="15" fillId="0" borderId="0" xfId="0" applyFont="1" applyFill="1" applyAlignment="1" applyProtection="1">
      <alignment horizontal="right" vertical="center" wrapText="1"/>
      <protection hidden="1"/>
    </xf>
    <xf numFmtId="0" fontId="15" fillId="0" borderId="10" xfId="0" applyFont="1" applyFill="1" applyBorder="1" applyAlignment="1" applyProtection="1">
      <alignment horizontal="right" vertical="center" wrapText="1"/>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4" fillId="0" borderId="0" xfId="0" applyFont="1" applyFill="1" applyAlignment="1" applyProtection="1">
      <alignment horizontal="center" vertical="center" wrapText="1"/>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9" xfId="0" applyFont="1" applyFill="1" applyBorder="1" applyAlignment="1" applyProtection="1">
      <alignment horizontal="center" vertical="center"/>
      <protection hidden="1"/>
    </xf>
    <xf numFmtId="0" fontId="14" fillId="0" borderId="0" xfId="0" applyFont="1" applyFill="1" applyAlignment="1" applyProtection="1">
      <alignment horizontal="left" vertical="center" wrapText="1"/>
      <protection hidden="1"/>
    </xf>
    <xf numFmtId="0" fontId="14" fillId="0" borderId="18"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5" fillId="0" borderId="2" xfId="0" applyFont="1" applyFill="1" applyBorder="1" applyAlignment="1" applyProtection="1">
      <alignment horizontal="left" vertical="center"/>
      <protection hidden="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61</xdr:row>
      <xdr:rowOff>0</xdr:rowOff>
    </xdr:from>
    <xdr:to>
      <xdr:col>15</xdr:col>
      <xdr:colOff>495300</xdr:colOff>
      <xdr:row>83</xdr:row>
      <xdr:rowOff>47625</xdr:rowOff>
    </xdr:to>
    <xdr:pic>
      <xdr:nvPicPr>
        <xdr:cNvPr id="1" name="Picture 15"/>
        <xdr:cNvPicPr preferRelativeResize="1">
          <a:picLocks noChangeAspect="1"/>
        </xdr:cNvPicPr>
      </xdr:nvPicPr>
      <xdr:blipFill>
        <a:blip r:embed="rId1"/>
        <a:stretch>
          <a:fillRect/>
        </a:stretch>
      </xdr:blipFill>
      <xdr:spPr>
        <a:xfrm>
          <a:off x="0" y="5686425"/>
          <a:ext cx="6553200" cy="3609975"/>
        </a:xfrm>
        <a:prstGeom prst="rect">
          <a:avLst/>
        </a:prstGeom>
        <a:noFill/>
        <a:ln w="9525" cmpd="sng">
          <a:noFill/>
        </a:ln>
      </xdr:spPr>
    </xdr:pic>
    <xdr:clientData/>
  </xdr:twoCellAnchor>
  <xdr:twoCellAnchor editAs="oneCell">
    <xdr:from>
      <xdr:col>0</xdr:col>
      <xdr:colOff>0</xdr:colOff>
      <xdr:row>61</xdr:row>
      <xdr:rowOff>95250</xdr:rowOff>
    </xdr:from>
    <xdr:to>
      <xdr:col>7</xdr:col>
      <xdr:colOff>123825</xdr:colOff>
      <xdr:row>64</xdr:row>
      <xdr:rowOff>85725</xdr:rowOff>
    </xdr:to>
    <xdr:pic>
      <xdr:nvPicPr>
        <xdr:cNvPr id="2" name="Picture 26"/>
        <xdr:cNvPicPr preferRelativeResize="1">
          <a:picLocks noChangeAspect="1"/>
        </xdr:cNvPicPr>
      </xdr:nvPicPr>
      <xdr:blipFill>
        <a:blip r:embed="rId2"/>
        <a:stretch>
          <a:fillRect/>
        </a:stretch>
      </xdr:blipFill>
      <xdr:spPr>
        <a:xfrm>
          <a:off x="0" y="5781675"/>
          <a:ext cx="30956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23</xdr:row>
      <xdr:rowOff>85725</xdr:rowOff>
    </xdr:from>
    <xdr:to>
      <xdr:col>15</xdr:col>
      <xdr:colOff>400050</xdr:colOff>
      <xdr:row>45</xdr:row>
      <xdr:rowOff>152400</xdr:rowOff>
    </xdr:to>
    <xdr:pic>
      <xdr:nvPicPr>
        <xdr:cNvPr id="1" name="Picture 2"/>
        <xdr:cNvPicPr preferRelativeResize="1">
          <a:picLocks noChangeAspect="1"/>
        </xdr:cNvPicPr>
      </xdr:nvPicPr>
      <xdr:blipFill>
        <a:blip r:embed="rId1"/>
        <a:stretch>
          <a:fillRect/>
        </a:stretch>
      </xdr:blipFill>
      <xdr:spPr>
        <a:xfrm>
          <a:off x="190500" y="6029325"/>
          <a:ext cx="6486525" cy="3629025"/>
        </a:xfrm>
        <a:prstGeom prst="rect">
          <a:avLst/>
        </a:prstGeom>
        <a:noFill/>
        <a:ln w="9525" cmpd="sng">
          <a:noFill/>
        </a:ln>
      </xdr:spPr>
    </xdr:pic>
    <xdr:clientData/>
  </xdr:twoCellAnchor>
  <xdr:twoCellAnchor editAs="oneCell">
    <xdr:from>
      <xdr:col>0</xdr:col>
      <xdr:colOff>9525</xdr:colOff>
      <xdr:row>23</xdr:row>
      <xdr:rowOff>133350</xdr:rowOff>
    </xdr:from>
    <xdr:to>
      <xdr:col>7</xdr:col>
      <xdr:colOff>247650</xdr:colOff>
      <xdr:row>27</xdr:row>
      <xdr:rowOff>38100</xdr:rowOff>
    </xdr:to>
    <xdr:pic>
      <xdr:nvPicPr>
        <xdr:cNvPr id="2" name="Picture 3"/>
        <xdr:cNvPicPr preferRelativeResize="1">
          <a:picLocks noChangeAspect="1"/>
        </xdr:cNvPicPr>
      </xdr:nvPicPr>
      <xdr:blipFill>
        <a:blip r:embed="rId2"/>
        <a:stretch>
          <a:fillRect/>
        </a:stretch>
      </xdr:blipFill>
      <xdr:spPr>
        <a:xfrm>
          <a:off x="9525" y="6076950"/>
          <a:ext cx="32766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71"/>
  <sheetViews>
    <sheetView workbookViewId="0" topLeftCell="A10">
      <selection activeCell="B3" sqref="B3:P3"/>
    </sheetView>
  </sheetViews>
  <sheetFormatPr defaultColWidth="9.00390625" defaultRowHeight="12.75"/>
  <cols>
    <col min="1" max="1" width="15.625" style="120" customWidth="1"/>
    <col min="2" max="2" width="3.75390625" style="97" customWidth="1"/>
    <col min="3" max="3" width="2.125" style="98" customWidth="1"/>
    <col min="4" max="4" width="9.00390625" style="98" customWidth="1"/>
    <col min="5" max="5" width="2.25390625" style="99" customWidth="1"/>
    <col min="6" max="6" width="3.375" style="8" customWidth="1"/>
    <col min="7" max="7" width="2.875" style="8" customWidth="1"/>
    <col min="8" max="8" width="3.00390625" style="8" customWidth="1"/>
    <col min="9" max="11" width="5.125" style="8" customWidth="1"/>
    <col min="12" max="12" width="3.25390625" style="95" customWidth="1"/>
    <col min="13" max="13" width="4.75390625" style="95" customWidth="1"/>
    <col min="14" max="14" width="7.25390625" style="8" customWidth="1"/>
    <col min="15" max="15" width="6.875" style="94" customWidth="1"/>
    <col min="16" max="16" width="7.25390625" style="95" customWidth="1"/>
    <col min="17" max="17" width="5.75390625" style="93" hidden="1" customWidth="1"/>
    <col min="18" max="18" width="9.125" style="93" hidden="1" customWidth="1"/>
    <col min="19" max="19" width="5.25390625" style="94" customWidth="1"/>
    <col min="20" max="20" width="2.375" style="95" customWidth="1"/>
    <col min="21" max="21" width="9.125" style="93" customWidth="1"/>
    <col min="22" max="22" width="3.25390625" style="93" customWidth="1"/>
    <col min="23" max="23" width="3.875" style="8" customWidth="1"/>
    <col min="24" max="24" width="8.625" style="8" customWidth="1"/>
    <col min="25" max="25" width="3.875" style="8" customWidth="1"/>
    <col min="26" max="26" width="4.875" style="94" customWidth="1"/>
    <col min="27" max="27" width="3.00390625" style="94" customWidth="1"/>
    <col min="28" max="28" width="4.00390625" style="95" customWidth="1"/>
    <col min="29" max="29" width="2.625" style="95" customWidth="1"/>
    <col min="30" max="30" width="5.875" style="95" customWidth="1"/>
    <col min="31" max="31" width="5.625" style="8" customWidth="1"/>
    <col min="32" max="16384" width="9.125" style="93" customWidth="1"/>
  </cols>
  <sheetData>
    <row r="1" spans="1:31" s="89" customFormat="1" ht="16.5" customHeight="1">
      <c r="A1" s="178" t="s">
        <v>87</v>
      </c>
      <c r="B1" s="178"/>
      <c r="C1" s="178"/>
      <c r="D1" s="178"/>
      <c r="E1" s="178"/>
      <c r="F1" s="178"/>
      <c r="G1" s="178"/>
      <c r="H1" s="178"/>
      <c r="I1" s="178"/>
      <c r="J1" s="178"/>
      <c r="K1" s="178"/>
      <c r="L1" s="178"/>
      <c r="M1" s="178"/>
      <c r="N1" s="178"/>
      <c r="O1" s="178"/>
      <c r="P1" s="178"/>
      <c r="S1" s="90"/>
      <c r="T1" s="91"/>
      <c r="W1" s="92"/>
      <c r="X1" s="92"/>
      <c r="Y1" s="92"/>
      <c r="Z1" s="90"/>
      <c r="AA1" s="90"/>
      <c r="AB1" s="91"/>
      <c r="AC1" s="91"/>
      <c r="AD1" s="91"/>
      <c r="AE1" s="92"/>
    </row>
    <row r="2" spans="1:16" ht="12.75" customHeight="1">
      <c r="A2" s="181" t="s">
        <v>95</v>
      </c>
      <c r="B2" s="181"/>
      <c r="C2" s="181"/>
      <c r="D2" s="181"/>
      <c r="E2" s="181"/>
      <c r="F2" s="181"/>
      <c r="G2" s="181"/>
      <c r="H2" s="181"/>
      <c r="I2" s="181"/>
      <c r="J2" s="181"/>
      <c r="K2" s="181"/>
      <c r="L2" s="181"/>
      <c r="M2" s="181"/>
      <c r="N2" s="181"/>
      <c r="O2" s="181"/>
      <c r="P2" s="181"/>
    </row>
    <row r="3" spans="1:16" ht="12.75">
      <c r="A3" s="100" t="s">
        <v>135</v>
      </c>
      <c r="B3" s="183" t="s">
        <v>136</v>
      </c>
      <c r="C3" s="183"/>
      <c r="D3" s="183"/>
      <c r="E3" s="183"/>
      <c r="F3" s="183"/>
      <c r="G3" s="183"/>
      <c r="H3" s="183"/>
      <c r="I3" s="183"/>
      <c r="J3" s="183"/>
      <c r="K3" s="183"/>
      <c r="L3" s="183"/>
      <c r="M3" s="183"/>
      <c r="N3" s="183"/>
      <c r="O3" s="183"/>
      <c r="P3" s="183"/>
    </row>
    <row r="4" spans="1:16" ht="12.75">
      <c r="A4" s="100" t="s">
        <v>92</v>
      </c>
      <c r="B4" s="101"/>
      <c r="C4" s="102"/>
      <c r="D4" s="102"/>
      <c r="E4" s="103"/>
      <c r="F4" s="104"/>
      <c r="G4" s="104"/>
      <c r="H4" s="104"/>
      <c r="I4" s="104"/>
      <c r="J4" s="104"/>
      <c r="K4" s="104"/>
      <c r="L4" s="105"/>
      <c r="M4" s="105"/>
      <c r="N4" s="104"/>
      <c r="O4" s="106"/>
      <c r="P4" s="105"/>
    </row>
    <row r="5" spans="1:16" ht="12.75" customHeight="1">
      <c r="A5" s="172" t="str">
        <f>A22</f>
        <v> </v>
      </c>
      <c r="B5" s="161"/>
      <c r="C5" s="161"/>
      <c r="D5" s="161"/>
      <c r="E5" s="161"/>
      <c r="F5" s="161"/>
      <c r="G5" s="161"/>
      <c r="H5" s="161"/>
      <c r="I5" s="161"/>
      <c r="J5" s="161"/>
      <c r="K5" s="161"/>
      <c r="L5" s="161"/>
      <c r="M5" s="161"/>
      <c r="N5" s="161"/>
      <c r="O5" s="161"/>
      <c r="P5" s="161"/>
    </row>
    <row r="6" spans="1:18" ht="39.75" customHeight="1">
      <c r="A6" s="107" t="s">
        <v>96</v>
      </c>
      <c r="B6" s="97" t="s">
        <v>42</v>
      </c>
      <c r="C6" s="98" t="s">
        <v>0</v>
      </c>
      <c r="D6" s="5">
        <v>200</v>
      </c>
      <c r="E6" s="99" t="s">
        <v>43</v>
      </c>
      <c r="G6" s="93"/>
      <c r="I6" s="179" t="s">
        <v>101</v>
      </c>
      <c r="J6" s="179"/>
      <c r="K6" s="179"/>
      <c r="L6" s="108" t="s">
        <v>85</v>
      </c>
      <c r="M6" s="98" t="s">
        <v>0</v>
      </c>
      <c r="N6" s="5">
        <v>50</v>
      </c>
      <c r="O6" s="96" t="s">
        <v>7</v>
      </c>
      <c r="P6" s="109"/>
      <c r="Q6" s="151">
        <f>IF(D6&lt;0.1,0.1,IF(ISNUMBER(D6),D6,0.11))</f>
        <v>200</v>
      </c>
      <c r="R6" s="151">
        <f>IF(N6&lt;0.0001,0.0001,IF(ISNUMBER(N6),N6,0.0001))</f>
        <v>50</v>
      </c>
    </row>
    <row r="7" spans="1:18" ht="39" customHeight="1">
      <c r="A7" s="107"/>
      <c r="B7" s="97" t="s">
        <v>42</v>
      </c>
      <c r="C7" s="98" t="s">
        <v>0</v>
      </c>
      <c r="D7" s="110">
        <f>Q6/3600</f>
        <v>0.05555555555555555</v>
      </c>
      <c r="E7" s="99" t="s">
        <v>44</v>
      </c>
      <c r="G7" s="93"/>
      <c r="I7" s="179" t="s">
        <v>102</v>
      </c>
      <c r="J7" s="179"/>
      <c r="K7" s="179"/>
      <c r="L7" s="108" t="s">
        <v>86</v>
      </c>
      <c r="M7" s="98" t="s">
        <v>0</v>
      </c>
      <c r="N7" s="5">
        <v>0.06</v>
      </c>
      <c r="O7" s="96" t="s">
        <v>7</v>
      </c>
      <c r="P7" s="109"/>
      <c r="Q7" s="6"/>
      <c r="R7" s="151">
        <f>IF(N7&lt;0.0001,0.0001,IF(ISNUMBER(N7),N7,0.0001))</f>
        <v>0.06</v>
      </c>
    </row>
    <row r="8" spans="1:18" ht="48" customHeight="1">
      <c r="A8" s="107" t="s">
        <v>123</v>
      </c>
      <c r="B8" s="97" t="s">
        <v>46</v>
      </c>
      <c r="C8" s="98" t="s">
        <v>0</v>
      </c>
      <c r="D8" s="5">
        <v>125</v>
      </c>
      <c r="E8" s="99" t="s">
        <v>130</v>
      </c>
      <c r="F8" s="93"/>
      <c r="G8" s="93"/>
      <c r="I8" s="179" t="s">
        <v>103</v>
      </c>
      <c r="J8" s="179"/>
      <c r="K8" s="179"/>
      <c r="L8" s="108" t="s">
        <v>88</v>
      </c>
      <c r="M8" s="98" t="s">
        <v>0</v>
      </c>
      <c r="N8" s="5">
        <v>0.13</v>
      </c>
      <c r="O8" s="99"/>
      <c r="P8" s="109"/>
      <c r="Q8" s="151">
        <f>IF(D8&lt;1,1,IF(ISNUMBER(D8),D8/1000,1))</f>
        <v>0.125</v>
      </c>
      <c r="R8" s="151">
        <f>IF(N8&lt;0.0001,0.0001,IF(ISNUMBER(N8),N8,0.0001))</f>
        <v>0.13</v>
      </c>
    </row>
    <row r="9" spans="1:18" ht="12.75">
      <c r="A9" s="107" t="s">
        <v>97</v>
      </c>
      <c r="B9" s="97" t="s">
        <v>45</v>
      </c>
      <c r="C9" s="98" t="s">
        <v>0</v>
      </c>
      <c r="D9" s="111">
        <f>Q9</f>
        <v>4.527073936836134</v>
      </c>
      <c r="E9" s="99" t="s">
        <v>44</v>
      </c>
      <c r="G9" s="93"/>
      <c r="P9" s="109"/>
      <c r="Q9" s="7">
        <f>D7/(PI()*Q8^2/4)</f>
        <v>4.527073936836134</v>
      </c>
      <c r="R9" s="88"/>
    </row>
    <row r="10" spans="1:18" ht="12.75">
      <c r="A10" s="107" t="s">
        <v>99</v>
      </c>
      <c r="B10" s="97" t="s">
        <v>111</v>
      </c>
      <c r="C10" s="98" t="s">
        <v>0</v>
      </c>
      <c r="D10" s="5">
        <v>0.5</v>
      </c>
      <c r="E10" s="99" t="s">
        <v>130</v>
      </c>
      <c r="G10" s="93"/>
      <c r="L10" s="97" t="s">
        <v>3</v>
      </c>
      <c r="M10" s="98" t="s">
        <v>0</v>
      </c>
      <c r="N10" s="5">
        <v>24</v>
      </c>
      <c r="O10" s="99" t="s">
        <v>5</v>
      </c>
      <c r="P10" s="109"/>
      <c r="Q10" s="175">
        <f>IF(ISNUMBER(D10),D10/1000,0)</f>
        <v>0.0005</v>
      </c>
      <c r="R10" s="151">
        <f>IF(ISNUMBER(N10),N10,1)</f>
        <v>24</v>
      </c>
    </row>
    <row r="11" spans="1:18" ht="12.75">
      <c r="A11" s="107" t="s">
        <v>98</v>
      </c>
      <c r="B11" s="97" t="s">
        <v>112</v>
      </c>
      <c r="C11" s="98" t="s">
        <v>0</v>
      </c>
      <c r="D11" s="5">
        <v>25</v>
      </c>
      <c r="E11" s="99" t="s">
        <v>130</v>
      </c>
      <c r="G11" s="93"/>
      <c r="L11" s="108" t="s">
        <v>61</v>
      </c>
      <c r="M11" s="98" t="s">
        <v>0</v>
      </c>
      <c r="N11" s="5">
        <v>0.9</v>
      </c>
      <c r="O11" s="96" t="s">
        <v>94</v>
      </c>
      <c r="P11" s="109"/>
      <c r="Q11" s="175">
        <f>IF(ISNUMBER(D11),D11/1000,0)</f>
        <v>0.025</v>
      </c>
      <c r="R11" s="151">
        <f>IF(N11&lt;0.0001,0.0001,IF(ISNUMBER(N11),N11,0.0001))</f>
        <v>0.9</v>
      </c>
    </row>
    <row r="12" spans="1:18" ht="24">
      <c r="A12" s="107" t="s">
        <v>100</v>
      </c>
      <c r="B12" s="97" t="s">
        <v>27</v>
      </c>
      <c r="C12" s="98" t="s">
        <v>0</v>
      </c>
      <c r="D12" s="5">
        <v>2</v>
      </c>
      <c r="E12" s="99" t="s">
        <v>2</v>
      </c>
      <c r="G12" s="93"/>
      <c r="L12" s="97" t="s">
        <v>113</v>
      </c>
      <c r="M12" s="98" t="s">
        <v>0</v>
      </c>
      <c r="N12" s="5">
        <v>-10</v>
      </c>
      <c r="O12" s="99" t="s">
        <v>5</v>
      </c>
      <c r="P12" s="109"/>
      <c r="Q12" s="151">
        <f>IF(D12&lt;2*Q8,2*Q8,IF(ISNUMBER(D12),D12,2*Q8))</f>
        <v>2</v>
      </c>
      <c r="R12" s="151">
        <f>IF(ISNUMBER(N12),N12,1)</f>
        <v>-10</v>
      </c>
    </row>
    <row r="13" spans="1:31" ht="12.75">
      <c r="A13" s="112"/>
      <c r="B13" s="93"/>
      <c r="C13" s="93"/>
      <c r="D13" s="93"/>
      <c r="E13" s="93"/>
      <c r="H13" s="93"/>
      <c r="L13" s="113"/>
      <c r="M13" s="113"/>
      <c r="N13" s="113"/>
      <c r="O13" s="114"/>
      <c r="P13" s="113"/>
      <c r="Q13" s="115"/>
      <c r="S13" s="93"/>
      <c r="T13" s="93"/>
      <c r="W13" s="93"/>
      <c r="X13" s="93"/>
      <c r="Y13" s="93"/>
      <c r="Z13" s="93"/>
      <c r="AA13" s="93"/>
      <c r="AB13" s="93"/>
      <c r="AC13" s="93"/>
      <c r="AD13" s="93"/>
      <c r="AE13" s="93"/>
    </row>
    <row r="14" spans="1:31" ht="12.75">
      <c r="A14" s="100" t="s">
        <v>89</v>
      </c>
      <c r="B14" s="116"/>
      <c r="C14" s="116"/>
      <c r="D14" s="116"/>
      <c r="E14" s="116"/>
      <c r="F14" s="104"/>
      <c r="G14" s="104"/>
      <c r="H14" s="116"/>
      <c r="I14" s="104"/>
      <c r="J14" s="104"/>
      <c r="K14" s="104"/>
      <c r="L14" s="105"/>
      <c r="M14" s="105"/>
      <c r="N14" s="104"/>
      <c r="O14" s="106"/>
      <c r="P14" s="117"/>
      <c r="Q14" s="115"/>
      <c r="S14" s="93"/>
      <c r="T14" s="93"/>
      <c r="W14" s="93"/>
      <c r="X14" s="93"/>
      <c r="Y14" s="93"/>
      <c r="Z14" s="93"/>
      <c r="AA14" s="93"/>
      <c r="AB14" s="93"/>
      <c r="AC14" s="93"/>
      <c r="AD14" s="93"/>
      <c r="AE14" s="93"/>
    </row>
    <row r="15" spans="1:31" ht="12.75">
      <c r="A15" s="115"/>
      <c r="B15" s="115"/>
      <c r="C15" s="115"/>
      <c r="D15" s="115"/>
      <c r="E15" s="115"/>
      <c r="F15" s="115"/>
      <c r="G15" s="115"/>
      <c r="H15" s="115"/>
      <c r="I15" s="115"/>
      <c r="J15" s="115"/>
      <c r="K15" s="115"/>
      <c r="L15" s="115"/>
      <c r="M15" s="115"/>
      <c r="N15" s="115"/>
      <c r="O15" s="115"/>
      <c r="P15" s="115"/>
      <c r="Q15" s="115"/>
      <c r="S15" s="93"/>
      <c r="T15" s="93"/>
      <c r="W15" s="93"/>
      <c r="X15" s="93"/>
      <c r="Y15" s="93"/>
      <c r="Z15" s="93"/>
      <c r="AA15" s="93"/>
      <c r="AB15" s="93"/>
      <c r="AC15" s="93"/>
      <c r="AD15" s="93"/>
      <c r="AE15" s="93"/>
    </row>
    <row r="16" spans="1:31" ht="36">
      <c r="A16" s="107" t="s">
        <v>104</v>
      </c>
      <c r="B16" s="97" t="s">
        <v>39</v>
      </c>
      <c r="C16" s="97" t="s">
        <v>0</v>
      </c>
      <c r="D16" s="118">
        <f>U55</f>
        <v>20.481212610163713</v>
      </c>
      <c r="E16" s="99" t="s">
        <v>5</v>
      </c>
      <c r="H16" s="93"/>
      <c r="L16" s="108" t="s">
        <v>11</v>
      </c>
      <c r="M16" s="98" t="s">
        <v>0</v>
      </c>
      <c r="N16" s="111">
        <f>D43</f>
        <v>19.30993498476991</v>
      </c>
      <c r="O16" s="99" t="s">
        <v>110</v>
      </c>
      <c r="P16" s="113"/>
      <c r="Q16" s="115"/>
      <c r="W16" s="93"/>
      <c r="X16" s="93"/>
      <c r="Y16" s="93"/>
      <c r="Z16" s="93"/>
      <c r="AA16" s="93"/>
      <c r="AB16" s="93"/>
      <c r="AC16" s="93"/>
      <c r="AD16" s="93"/>
      <c r="AE16" s="93"/>
    </row>
    <row r="17" spans="1:31" ht="36">
      <c r="A17" s="107" t="s">
        <v>105</v>
      </c>
      <c r="B17" s="97" t="s">
        <v>90</v>
      </c>
      <c r="C17" s="97" t="s">
        <v>0</v>
      </c>
      <c r="D17" s="118">
        <f>D39</f>
        <v>22.25607693475635</v>
      </c>
      <c r="E17" s="99" t="s">
        <v>5</v>
      </c>
      <c r="G17" s="93"/>
      <c r="H17" s="93"/>
      <c r="J17" s="119"/>
      <c r="L17" s="108" t="s">
        <v>81</v>
      </c>
      <c r="M17" s="98" t="s">
        <v>0</v>
      </c>
      <c r="N17" s="111">
        <f>D48</f>
        <v>7.0628473250142</v>
      </c>
      <c r="O17" s="99" t="s">
        <v>110</v>
      </c>
      <c r="P17" s="113"/>
      <c r="Q17" s="115"/>
      <c r="W17" s="93"/>
      <c r="X17" s="93"/>
      <c r="Y17" s="93"/>
      <c r="Z17" s="93"/>
      <c r="AA17" s="93"/>
      <c r="AB17" s="93"/>
      <c r="AC17" s="93"/>
      <c r="AD17" s="93"/>
      <c r="AE17" s="93"/>
    </row>
    <row r="18" spans="3:31" ht="12.75">
      <c r="C18" s="97"/>
      <c r="D18" s="99"/>
      <c r="H18" s="93"/>
      <c r="L18" s="108" t="s">
        <v>84</v>
      </c>
      <c r="M18" s="98" t="s">
        <v>0</v>
      </c>
      <c r="N18" s="121">
        <f>IF(AND(O18&gt;0,O18&lt;50),O18,7)</f>
        <v>6.831376319525429</v>
      </c>
      <c r="O18" s="121">
        <f>D45</f>
        <v>6.831370580324322</v>
      </c>
      <c r="P18" s="113"/>
      <c r="Q18" s="115"/>
      <c r="W18" s="93"/>
      <c r="X18" s="93"/>
      <c r="Y18" s="93"/>
      <c r="Z18" s="93"/>
      <c r="AA18" s="93"/>
      <c r="AB18" s="93"/>
      <c r="AC18" s="93"/>
      <c r="AD18" s="93"/>
      <c r="AE18" s="93"/>
    </row>
    <row r="19" spans="1:31" ht="15" customHeight="1">
      <c r="A19" s="122" t="s">
        <v>91</v>
      </c>
      <c r="B19" s="101"/>
      <c r="C19" s="101"/>
      <c r="D19" s="123"/>
      <c r="E19" s="103"/>
      <c r="F19" s="104"/>
      <c r="G19" s="104"/>
      <c r="H19" s="104"/>
      <c r="I19" s="116"/>
      <c r="J19" s="116"/>
      <c r="K19" s="116"/>
      <c r="L19" s="117"/>
      <c r="M19" s="117"/>
      <c r="N19" s="117"/>
      <c r="O19" s="124"/>
      <c r="P19" s="117"/>
      <c r="Q19" s="115"/>
      <c r="W19" s="93"/>
      <c r="X19" s="93"/>
      <c r="Y19" s="93"/>
      <c r="Z19" s="93"/>
      <c r="AA19" s="93"/>
      <c r="AB19" s="93"/>
      <c r="AC19" s="93"/>
      <c r="AD19" s="93"/>
      <c r="AE19" s="93"/>
    </row>
    <row r="20" spans="1:31" ht="15" customHeight="1">
      <c r="A20" s="125"/>
      <c r="C20" s="97"/>
      <c r="D20" s="126"/>
      <c r="L20" s="113"/>
      <c r="M20" s="113"/>
      <c r="N20" s="127" t="s">
        <v>39</v>
      </c>
      <c r="O20" s="128" t="str">
        <f>IF(D16&gt;D17,"&gt;","&lt;")</f>
        <v>&lt;</v>
      </c>
      <c r="P20" s="127" t="s">
        <v>90</v>
      </c>
      <c r="Q20" s="115"/>
      <c r="W20" s="93"/>
      <c r="X20" s="93"/>
      <c r="Y20" s="93"/>
      <c r="Z20" s="93"/>
      <c r="AA20" s="93"/>
      <c r="AB20" s="93"/>
      <c r="AC20" s="93"/>
      <c r="AD20" s="93"/>
      <c r="AE20" s="93"/>
    </row>
    <row r="21" spans="1:31" ht="25.5" customHeight="1">
      <c r="A21" s="182" t="s">
        <v>126</v>
      </c>
      <c r="B21" s="182"/>
      <c r="C21" s="182"/>
      <c r="D21" s="182"/>
      <c r="E21" s="182"/>
      <c r="F21" s="182"/>
      <c r="G21" s="182"/>
      <c r="H21" s="182"/>
      <c r="I21" s="182"/>
      <c r="J21" s="182"/>
      <c r="K21" s="182"/>
      <c r="L21" s="182"/>
      <c r="M21" s="182"/>
      <c r="N21" s="180" t="str">
        <f>IF(AND(ISNUMBER(D6),ISNUMBER(D8),ISNUMBER(D10),ISNUMBER(D11),ISNUMBER(D12),ISNUMBER(N6),ISNUMBER(N7),ISNUMBER(N8),ISNUMBER(N10),ISNUMBER(N11),ISNUMBER(N12)),IF(D16&gt;D17,"VYHOVUJE","NEVYHOVUJE"),"CHYBA")</f>
        <v>NEVYHOVUJE</v>
      </c>
      <c r="O21" s="180"/>
      <c r="P21" s="180"/>
      <c r="Q21" s="98"/>
      <c r="R21" s="98"/>
      <c r="S21" s="98"/>
      <c r="T21" s="93"/>
      <c r="W21" s="93"/>
      <c r="X21" s="93"/>
      <c r="Y21" s="93"/>
      <c r="Z21" s="93"/>
      <c r="AA21" s="93"/>
      <c r="AB21" s="93"/>
      <c r="AC21" s="93"/>
      <c r="AD21" s="93"/>
      <c r="AE21" s="93"/>
    </row>
    <row r="22" spans="1:16" ht="12.75">
      <c r="A22" s="177" t="str">
        <f>IF(AND(ISNUMBER(D6),ISNUMBER(D8),ISNUMBER(D10),ISNUMBER(D11),ISNUMBER(D12),ISNUMBER(N6),ISNUMBER(N7),ISNUMBER(N8),ISNUMBER(N10),ISNUMBER(N11),ISNUMBER(N12))," ","!!!!!!!!!!!!!!!!!!!!!!!!!!!!!!!!!!!!!!!!!!!!!!!!!!!!!! CHYBA V ZADÁNí !!!!!!!!!!!!!!!!!!!!!!!!!!!!!!!!!!!!!!!!!!!!!!!!!!!!!!!!!!!!!!!!!!!!!")</f>
        <v> </v>
      </c>
      <c r="B22" s="177"/>
      <c r="C22" s="177"/>
      <c r="D22" s="177"/>
      <c r="E22" s="177"/>
      <c r="F22" s="177"/>
      <c r="G22" s="177"/>
      <c r="H22" s="177"/>
      <c r="I22" s="177"/>
      <c r="J22" s="177"/>
      <c r="K22" s="177"/>
      <c r="L22" s="177"/>
      <c r="M22" s="177"/>
      <c r="N22" s="177"/>
      <c r="O22" s="177"/>
      <c r="P22" s="177"/>
    </row>
    <row r="23" spans="2:19" ht="12.75" hidden="1">
      <c r="B23" s="97" t="s">
        <v>72</v>
      </c>
      <c r="C23" s="95" t="s">
        <v>0</v>
      </c>
      <c r="D23" s="129">
        <f>R10+273.14</f>
        <v>297.14</v>
      </c>
      <c r="E23" s="130" t="s">
        <v>54</v>
      </c>
      <c r="F23" s="94"/>
      <c r="G23" s="113"/>
      <c r="M23" s="88" t="s">
        <v>70</v>
      </c>
      <c r="N23" s="131"/>
      <c r="O23" s="131"/>
      <c r="P23" s="93"/>
      <c r="S23" s="93"/>
    </row>
    <row r="24" spans="2:19" ht="14.25" hidden="1">
      <c r="B24" s="108" t="s">
        <v>41</v>
      </c>
      <c r="C24" s="95" t="s">
        <v>0</v>
      </c>
      <c r="D24" s="8" t="s">
        <v>60</v>
      </c>
      <c r="E24" s="8"/>
      <c r="F24" s="94"/>
      <c r="G24" s="132"/>
      <c r="M24" s="133" t="s">
        <v>51</v>
      </c>
      <c r="N24" s="134">
        <f>1010+0.12*Výpočet_1!D22</f>
        <v>1010</v>
      </c>
      <c r="O24" s="135" t="s">
        <v>62</v>
      </c>
      <c r="S24" s="93"/>
    </row>
    <row r="25" spans="2:19" ht="14.25" hidden="1">
      <c r="B25" s="108" t="s">
        <v>41</v>
      </c>
      <c r="C25" s="95" t="s">
        <v>0</v>
      </c>
      <c r="D25" s="136">
        <f>Výpočet_1!N27/(461.5*D23)*(1+D37)/(0.622+D37)</f>
        <v>1.1370481373947356</v>
      </c>
      <c r="E25" s="8" t="s">
        <v>64</v>
      </c>
      <c r="F25" s="94"/>
      <c r="G25" s="137"/>
      <c r="M25" s="138" t="s">
        <v>52</v>
      </c>
      <c r="N25" s="139">
        <v>1840</v>
      </c>
      <c r="O25" s="135" t="s">
        <v>62</v>
      </c>
      <c r="S25" s="93"/>
    </row>
    <row r="26" spans="2:15" ht="14.25" hidden="1">
      <c r="B26" s="108" t="s">
        <v>2</v>
      </c>
      <c r="C26" s="98" t="s">
        <v>0</v>
      </c>
      <c r="D26" s="98">
        <f>(17.2+0.047*R10)*10^-6</f>
        <v>1.8327999999999998E-05</v>
      </c>
      <c r="E26" s="99" t="s">
        <v>50</v>
      </c>
      <c r="M26" s="138" t="s">
        <v>53</v>
      </c>
      <c r="N26" s="140">
        <f>2500*10^3</f>
        <v>2500000</v>
      </c>
      <c r="O26" s="135" t="s">
        <v>63</v>
      </c>
    </row>
    <row r="27" spans="2:15" ht="12.75" hidden="1">
      <c r="B27" s="108" t="s">
        <v>74</v>
      </c>
      <c r="C27" s="98" t="s">
        <v>0</v>
      </c>
      <c r="D27" s="141" t="s">
        <v>75</v>
      </c>
      <c r="M27" s="137" t="s">
        <v>55</v>
      </c>
      <c r="N27" s="115">
        <v>98000</v>
      </c>
      <c r="O27" s="114" t="s">
        <v>56</v>
      </c>
    </row>
    <row r="28" spans="2:5" ht="14.25" hidden="1">
      <c r="B28" s="108" t="s">
        <v>74</v>
      </c>
      <c r="C28" s="98" t="s">
        <v>0</v>
      </c>
      <c r="D28" s="99">
        <f>D26/D25</f>
        <v>1.6118930586346216E-05</v>
      </c>
      <c r="E28" s="99" t="s">
        <v>76</v>
      </c>
    </row>
    <row r="29" spans="2:4" ht="12.75" hidden="1">
      <c r="B29" s="97" t="s">
        <v>49</v>
      </c>
      <c r="C29" s="98" t="s">
        <v>0</v>
      </c>
      <c r="D29" s="98" t="s">
        <v>73</v>
      </c>
    </row>
    <row r="30" spans="2:4" ht="12.75" hidden="1">
      <c r="B30" s="97" t="s">
        <v>49</v>
      </c>
      <c r="C30" s="98" t="s">
        <v>0</v>
      </c>
      <c r="D30" s="93">
        <f>Q9*Q8/D28</f>
        <v>35106.81053393564</v>
      </c>
    </row>
    <row r="31" ht="12.75" hidden="1"/>
    <row r="32" spans="2:19" ht="12.75" hidden="1">
      <c r="B32" s="94" t="s">
        <v>65</v>
      </c>
      <c r="C32" s="95" t="s">
        <v>0</v>
      </c>
      <c r="D32" s="8" t="s">
        <v>57</v>
      </c>
      <c r="E32" s="93"/>
      <c r="F32" s="94"/>
      <c r="G32" s="132"/>
      <c r="P32" s="93"/>
      <c r="S32" s="93"/>
    </row>
    <row r="33" spans="2:19" ht="12.75" hidden="1">
      <c r="B33" s="94" t="s">
        <v>65</v>
      </c>
      <c r="C33" s="95" t="s">
        <v>0</v>
      </c>
      <c r="D33" s="142">
        <f>IF(R10&gt;=0,EXP(23.58-4044.2/(235.6+R10)),EXP(28.926-6148/(273.1+R10)))</f>
        <v>2985.1866867186986</v>
      </c>
      <c r="E33" s="8" t="s">
        <v>56</v>
      </c>
      <c r="F33" s="94"/>
      <c r="G33" s="132"/>
      <c r="P33" s="93"/>
      <c r="S33" s="93"/>
    </row>
    <row r="34" spans="2:30" ht="14.25" hidden="1">
      <c r="B34" s="97" t="s">
        <v>66</v>
      </c>
      <c r="C34" s="95" t="s">
        <v>0</v>
      </c>
      <c r="D34" s="143" t="s">
        <v>67</v>
      </c>
      <c r="E34" s="8"/>
      <c r="F34" s="94"/>
      <c r="G34" s="113"/>
      <c r="AD34" s="109"/>
    </row>
    <row r="35" spans="2:7" ht="12.75" hidden="1">
      <c r="B35" s="97" t="s">
        <v>66</v>
      </c>
      <c r="C35" s="95" t="s">
        <v>0</v>
      </c>
      <c r="D35" s="144">
        <f>R11*D33</f>
        <v>2686.668018046829</v>
      </c>
      <c r="E35" s="8" t="s">
        <v>56</v>
      </c>
      <c r="F35" s="94"/>
      <c r="G35" s="145"/>
    </row>
    <row r="36" spans="2:7" ht="14.25" hidden="1">
      <c r="B36" s="97" t="s">
        <v>71</v>
      </c>
      <c r="C36" s="95" t="s">
        <v>0</v>
      </c>
      <c r="D36" s="8" t="s">
        <v>68</v>
      </c>
      <c r="E36" s="8"/>
      <c r="F36" s="94"/>
      <c r="G36" s="132"/>
    </row>
    <row r="37" spans="2:7" ht="12.75" hidden="1">
      <c r="B37" s="97" t="s">
        <v>71</v>
      </c>
      <c r="C37" s="95" t="s">
        <v>0</v>
      </c>
      <c r="D37" s="146">
        <f>0.622*R11*D33/(Výpočet_1!N27-R11*D33)</f>
        <v>0.01753277817988294</v>
      </c>
      <c r="E37" s="8" t="s">
        <v>59</v>
      </c>
      <c r="F37" s="94"/>
      <c r="G37" s="137"/>
    </row>
    <row r="38" spans="2:7" ht="12.75" hidden="1">
      <c r="B38" s="97" t="s">
        <v>69</v>
      </c>
      <c r="C38" s="95" t="s">
        <v>0</v>
      </c>
      <c r="D38" s="8" t="s">
        <v>58</v>
      </c>
      <c r="E38" s="8"/>
      <c r="F38" s="94"/>
      <c r="G38" s="137"/>
    </row>
    <row r="39" spans="2:7" ht="12.75" hidden="1">
      <c r="B39" s="97" t="s">
        <v>69</v>
      </c>
      <c r="C39" s="95" t="s">
        <v>0</v>
      </c>
      <c r="D39" s="147">
        <f>IF(D35&gt;670,4044.2/(23.58-LN(D35))-235.6,6148/(28.926-LN(D35))-273.1)</f>
        <v>22.25607693475635</v>
      </c>
      <c r="E39" s="8" t="s">
        <v>5</v>
      </c>
      <c r="F39" s="94"/>
      <c r="G39" s="132"/>
    </row>
    <row r="40" spans="2:4" ht="12.75" hidden="1">
      <c r="B40" s="108" t="s">
        <v>78</v>
      </c>
      <c r="C40" s="98" t="s">
        <v>0</v>
      </c>
      <c r="D40" s="98">
        <f>1+10*D30^-0.3*(Q12/Q8)^-0.7</f>
        <v>1.0621582243297054</v>
      </c>
    </row>
    <row r="41" spans="2:4" ht="12.75" hidden="1">
      <c r="B41" s="97" t="s">
        <v>79</v>
      </c>
      <c r="C41" s="98" t="s">
        <v>0</v>
      </c>
      <c r="D41" s="98">
        <f>3.73-0.0061*R10</f>
        <v>3.5836</v>
      </c>
    </row>
    <row r="42" spans="1:4" ht="38.25" hidden="1">
      <c r="A42" s="120" t="s">
        <v>48</v>
      </c>
      <c r="B42" s="141" t="s">
        <v>47</v>
      </c>
      <c r="C42" s="98" t="s">
        <v>0</v>
      </c>
      <c r="D42" s="148" t="s">
        <v>77</v>
      </c>
    </row>
    <row r="43" spans="2:5" ht="12.75" hidden="1">
      <c r="B43" s="108" t="s">
        <v>47</v>
      </c>
      <c r="C43" s="98" t="s">
        <v>0</v>
      </c>
      <c r="D43" s="149">
        <f>1*D40*D41*Q9^0.8/Q8^0.2</f>
        <v>19.30993498476991</v>
      </c>
      <c r="E43" s="99" t="s">
        <v>80</v>
      </c>
    </row>
    <row r="44" ht="12.75" hidden="1">
      <c r="B44" s="108"/>
    </row>
    <row r="45" spans="2:4" ht="12.75" hidden="1">
      <c r="B45" s="108"/>
      <c r="D45" s="98">
        <f>U59-U60</f>
        <v>6.831370580924418</v>
      </c>
    </row>
    <row r="46" spans="1:31" ht="38.25" hidden="1">
      <c r="A46" s="120" t="s">
        <v>83</v>
      </c>
      <c r="B46" s="108" t="s">
        <v>84</v>
      </c>
      <c r="C46" s="98" t="s">
        <v>0</v>
      </c>
      <c r="D46" s="150">
        <f>N18</f>
        <v>6.831376319525429</v>
      </c>
      <c r="E46" s="99" t="s">
        <v>54</v>
      </c>
      <c r="L46" s="97" t="s">
        <v>1</v>
      </c>
      <c r="M46" s="98" t="s">
        <v>0</v>
      </c>
      <c r="N46" s="151">
        <f>M59</f>
        <v>0.7846415225236568</v>
      </c>
      <c r="O46" s="99" t="s">
        <v>7</v>
      </c>
      <c r="T46" s="93"/>
      <c r="W46" s="93"/>
      <c r="X46" s="93"/>
      <c r="Y46" s="93"/>
      <c r="Z46" s="93"/>
      <c r="AA46" s="93"/>
      <c r="AB46" s="93"/>
      <c r="AC46" s="93"/>
      <c r="AD46" s="93"/>
      <c r="AE46" s="93"/>
    </row>
    <row r="47" spans="1:15" ht="38.25" hidden="1">
      <c r="A47" s="120" t="s">
        <v>48</v>
      </c>
      <c r="B47" s="108" t="s">
        <v>81</v>
      </c>
      <c r="C47" s="98" t="s">
        <v>0</v>
      </c>
      <c r="D47" s="98" t="s">
        <v>82</v>
      </c>
      <c r="L47" s="97" t="s">
        <v>24</v>
      </c>
      <c r="M47" s="98" t="s">
        <v>0</v>
      </c>
      <c r="N47" s="99" t="s">
        <v>6</v>
      </c>
      <c r="O47" s="99"/>
    </row>
    <row r="48" spans="2:31" ht="14.25" hidden="1">
      <c r="B48" s="108" t="s">
        <v>81</v>
      </c>
      <c r="C48" s="98" t="s">
        <v>0</v>
      </c>
      <c r="D48" s="2">
        <f>2*(D46)^0.25+5.7*R8*(((R12+D46+273)/100)^4-((R12+273)/100)^4)</f>
        <v>7.062839050051778</v>
      </c>
      <c r="E48" s="99" t="s">
        <v>80</v>
      </c>
      <c r="F48" s="137"/>
      <c r="G48" s="113"/>
      <c r="H48" s="113"/>
      <c r="I48" s="114"/>
      <c r="J48" s="98"/>
      <c r="L48" s="97" t="s">
        <v>24</v>
      </c>
      <c r="M48" s="98" t="s">
        <v>0</v>
      </c>
      <c r="N48" s="98">
        <f>N46*(U53-U61)</f>
        <v>26.677811765804332</v>
      </c>
      <c r="O48" s="99" t="s">
        <v>93</v>
      </c>
      <c r="P48" s="137"/>
      <c r="Q48" s="132"/>
      <c r="S48" s="93"/>
      <c r="T48" s="93"/>
      <c r="W48" s="93"/>
      <c r="X48" s="93"/>
      <c r="Y48" s="93"/>
      <c r="Z48" s="93"/>
      <c r="AA48" s="93"/>
      <c r="AB48" s="93"/>
      <c r="AC48" s="93"/>
      <c r="AD48" s="93"/>
      <c r="AE48" s="93"/>
    </row>
    <row r="49" spans="2:31" ht="12.75" hidden="1">
      <c r="B49" s="108"/>
      <c r="D49" s="152"/>
      <c r="J49" s="98"/>
      <c r="P49" s="153"/>
      <c r="Q49" s="154"/>
      <c r="S49" s="93"/>
      <c r="T49" s="93"/>
      <c r="W49" s="93"/>
      <c r="X49" s="93"/>
      <c r="Y49" s="93"/>
      <c r="Z49" s="93"/>
      <c r="AA49" s="93"/>
      <c r="AB49" s="93"/>
      <c r="AC49" s="93"/>
      <c r="AD49" s="93"/>
      <c r="AE49" s="93"/>
    </row>
    <row r="50" spans="8:31" ht="12.75" hidden="1">
      <c r="H50" s="115"/>
      <c r="I50" s="114"/>
      <c r="J50" s="144"/>
      <c r="K50" s="93"/>
      <c r="L50" s="93"/>
      <c r="M50" s="93"/>
      <c r="N50" s="93"/>
      <c r="O50" s="8"/>
      <c r="P50" s="93"/>
      <c r="S50" s="93"/>
      <c r="T50" s="93"/>
      <c r="W50" s="93"/>
      <c r="X50" s="93"/>
      <c r="Y50" s="93"/>
      <c r="Z50" s="93"/>
      <c r="AA50" s="93"/>
      <c r="AB50" s="93"/>
      <c r="AC50" s="93"/>
      <c r="AD50" s="93"/>
      <c r="AE50" s="93"/>
    </row>
    <row r="51" spans="1:31" ht="12.75" hidden="1">
      <c r="A51" s="8"/>
      <c r="B51" s="8"/>
      <c r="C51" s="8" t="s">
        <v>37</v>
      </c>
      <c r="D51" s="8"/>
      <c r="E51" s="8"/>
      <c r="F51" s="95"/>
      <c r="G51" s="95"/>
      <c r="I51" s="94"/>
      <c r="J51" s="95"/>
      <c r="K51" s="93"/>
      <c r="L51" s="93"/>
      <c r="M51" s="94"/>
      <c r="N51" s="95"/>
      <c r="O51" s="93"/>
      <c r="P51" s="93"/>
      <c r="S51" s="93"/>
      <c r="T51" s="93"/>
      <c r="W51" s="93"/>
      <c r="X51" s="93"/>
      <c r="Y51" s="93"/>
      <c r="Z51" s="93"/>
      <c r="AA51" s="93"/>
      <c r="AB51" s="93"/>
      <c r="AC51" s="93"/>
      <c r="AD51" s="93"/>
      <c r="AE51" s="93"/>
    </row>
    <row r="52" spans="1:31" ht="12.75" hidden="1">
      <c r="A52" s="8"/>
      <c r="B52" s="8"/>
      <c r="C52" s="8" t="s">
        <v>8</v>
      </c>
      <c r="D52" s="95">
        <f>A52/2</f>
        <v>0</v>
      </c>
      <c r="E52" s="93"/>
      <c r="F52" s="8" t="s">
        <v>2</v>
      </c>
      <c r="G52" s="93"/>
      <c r="H52" s="93"/>
      <c r="I52" s="94"/>
      <c r="J52" s="95"/>
      <c r="K52" s="93"/>
      <c r="L52" s="93"/>
      <c r="M52" s="94"/>
      <c r="N52" s="95"/>
      <c r="O52" s="93"/>
      <c r="P52" s="93"/>
      <c r="S52" s="93"/>
      <c r="T52" s="93"/>
      <c r="W52" s="93"/>
      <c r="X52" s="93"/>
      <c r="Y52" s="93"/>
      <c r="Z52" s="93"/>
      <c r="AA52" s="93"/>
      <c r="AB52" s="93"/>
      <c r="AC52" s="93"/>
      <c r="AD52" s="93"/>
      <c r="AE52" s="93"/>
    </row>
    <row r="53" spans="1:31" ht="15.75" hidden="1">
      <c r="A53" s="8">
        <f>Q8/2</f>
        <v>0.0625</v>
      </c>
      <c r="B53" s="8" t="s">
        <v>2</v>
      </c>
      <c r="C53" s="8" t="s">
        <v>8</v>
      </c>
      <c r="D53" s="95">
        <f aca="true" t="shared" si="0" ref="D53:D58">A53+D52</f>
        <v>0.0625</v>
      </c>
      <c r="E53" s="93"/>
      <c r="F53" s="8" t="s">
        <v>2</v>
      </c>
      <c r="G53" s="155" t="s">
        <v>11</v>
      </c>
      <c r="H53" s="95" t="s">
        <v>0</v>
      </c>
      <c r="I53" s="95">
        <f>D43</f>
        <v>19.30993498476991</v>
      </c>
      <c r="J53" s="93" t="s">
        <v>122</v>
      </c>
      <c r="K53" s="94" t="s">
        <v>15</v>
      </c>
      <c r="L53" s="95" t="s">
        <v>0</v>
      </c>
      <c r="M53" s="93">
        <f>2*PI()/(1/(I53*D53))</f>
        <v>7.58299373618121</v>
      </c>
      <c r="N53" s="8" t="s">
        <v>41</v>
      </c>
      <c r="O53" s="8"/>
      <c r="P53" s="8"/>
      <c r="Q53" s="94" t="s">
        <v>3</v>
      </c>
      <c r="R53" s="95" t="s">
        <v>0</v>
      </c>
      <c r="S53" s="95" t="s">
        <v>19</v>
      </c>
      <c r="T53" s="95" t="s">
        <v>0</v>
      </c>
      <c r="U53" s="95">
        <f>$R$10</f>
        <v>24</v>
      </c>
      <c r="V53" s="8" t="s">
        <v>5</v>
      </c>
      <c r="W53" s="93"/>
      <c r="X53" s="93"/>
      <c r="Y53" s="93"/>
      <c r="Z53" s="93"/>
      <c r="AA53" s="93"/>
      <c r="AB53" s="93"/>
      <c r="AC53" s="93"/>
      <c r="AD53" s="93"/>
      <c r="AE53" s="93"/>
    </row>
    <row r="54" spans="1:31" ht="15.75" hidden="1">
      <c r="A54" s="8">
        <f>Q10</f>
        <v>0.0005</v>
      </c>
      <c r="B54" s="8" t="s">
        <v>2</v>
      </c>
      <c r="C54" s="8" t="s">
        <v>9</v>
      </c>
      <c r="D54" s="95">
        <f t="shared" si="0"/>
        <v>0.063</v>
      </c>
      <c r="E54" s="93"/>
      <c r="F54" s="8" t="s">
        <v>2</v>
      </c>
      <c r="G54" s="155" t="s">
        <v>13</v>
      </c>
      <c r="H54" s="95" t="s">
        <v>0</v>
      </c>
      <c r="I54" s="95">
        <f>$R$6</f>
        <v>50</v>
      </c>
      <c r="J54" s="93" t="s">
        <v>7</v>
      </c>
      <c r="K54" s="94" t="s">
        <v>16</v>
      </c>
      <c r="L54" s="95" t="s">
        <v>0</v>
      </c>
      <c r="M54" s="93">
        <f>2*PI()/(1/(I53*D53)+1/I54*LN(D54/D53))</f>
        <v>7.581535571504286</v>
      </c>
      <c r="N54" s="8" t="s">
        <v>41</v>
      </c>
      <c r="O54" s="8"/>
      <c r="P54" s="8"/>
      <c r="Q54" s="155"/>
      <c r="R54" s="95"/>
      <c r="S54" s="95" t="s">
        <v>20</v>
      </c>
      <c r="T54" s="95" t="s">
        <v>0</v>
      </c>
      <c r="U54" s="95">
        <f aca="true" t="shared" si="1" ref="U54:U59">$U$53-($U$53-$U$61)*$N$46/M53</f>
        <v>20.481889251930298</v>
      </c>
      <c r="V54" s="8" t="s">
        <v>5</v>
      </c>
      <c r="W54" s="93"/>
      <c r="X54" s="93"/>
      <c r="Y54" s="93"/>
      <c r="Z54" s="93"/>
      <c r="AA54" s="93"/>
      <c r="AB54" s="93"/>
      <c r="AC54" s="93"/>
      <c r="AD54" s="93"/>
      <c r="AE54" s="93"/>
    </row>
    <row r="55" spans="1:31" ht="15.75" hidden="1">
      <c r="A55" s="8">
        <f>$Q$11/4</f>
        <v>0.00625</v>
      </c>
      <c r="B55" s="8" t="s">
        <v>2</v>
      </c>
      <c r="C55" s="8" t="s">
        <v>10</v>
      </c>
      <c r="D55" s="95">
        <f t="shared" si="0"/>
        <v>0.06925</v>
      </c>
      <c r="E55" s="93"/>
      <c r="F55" s="8" t="s">
        <v>2</v>
      </c>
      <c r="G55" s="155" t="s">
        <v>14</v>
      </c>
      <c r="H55" s="95" t="s">
        <v>0</v>
      </c>
      <c r="I55" s="95">
        <f>$R$7</f>
        <v>0.06</v>
      </c>
      <c r="J55" s="93" t="s">
        <v>7</v>
      </c>
      <c r="K55" s="94" t="s">
        <v>17</v>
      </c>
      <c r="L55" s="95" t="s">
        <v>0</v>
      </c>
      <c r="M55" s="93">
        <f>2*PI()/(1/($I$53*$D$53)+1/$I$54*LN($D$54/$D$53)+1/$I$55*LN($D$55/$D$54))</f>
        <v>2.6123099024960963</v>
      </c>
      <c r="N55" s="8" t="s">
        <v>41</v>
      </c>
      <c r="O55" s="8"/>
      <c r="P55" s="8"/>
      <c r="Q55" s="94" t="s">
        <v>39</v>
      </c>
      <c r="R55" s="95" t="s">
        <v>0</v>
      </c>
      <c r="S55" s="95" t="s">
        <v>21</v>
      </c>
      <c r="T55" s="95" t="s">
        <v>0</v>
      </c>
      <c r="U55" s="95">
        <f t="shared" si="1"/>
        <v>20.48121261000546</v>
      </c>
      <c r="V55" s="8" t="s">
        <v>5</v>
      </c>
      <c r="W55" s="93"/>
      <c r="X55" s="93"/>
      <c r="Y55" s="93"/>
      <c r="Z55" s="93"/>
      <c r="AA55" s="93"/>
      <c r="AB55" s="93"/>
      <c r="AC55" s="93"/>
      <c r="AD55" s="93"/>
      <c r="AE55" s="93"/>
    </row>
    <row r="56" spans="1:31" ht="15.75" hidden="1">
      <c r="A56" s="8">
        <f>$Q$11/4</f>
        <v>0.00625</v>
      </c>
      <c r="B56" s="8" t="s">
        <v>2</v>
      </c>
      <c r="C56" s="8" t="s">
        <v>25</v>
      </c>
      <c r="D56" s="95">
        <f t="shared" si="0"/>
        <v>0.07550000000000001</v>
      </c>
      <c r="E56" s="93"/>
      <c r="F56" s="8" t="s">
        <v>2</v>
      </c>
      <c r="G56" s="155" t="s">
        <v>14</v>
      </c>
      <c r="H56" s="95" t="s">
        <v>0</v>
      </c>
      <c r="I56" s="95">
        <f>$R$7</f>
        <v>0.06</v>
      </c>
      <c r="J56" s="93" t="s">
        <v>7</v>
      </c>
      <c r="K56" s="94" t="s">
        <v>18</v>
      </c>
      <c r="L56" s="95" t="s">
        <v>0</v>
      </c>
      <c r="M56" s="93">
        <f>2*PI()/(1/($I$53*$D$53)+1/$I$54*LN($D$54/$D$53)+1/$I$55*LN($D$55/$D$54)+1/$I$56*LN($D$56/$D$55))</f>
        <v>1.6339567015572882</v>
      </c>
      <c r="N56" s="8" t="s">
        <v>41</v>
      </c>
      <c r="O56" s="8"/>
      <c r="P56" s="8"/>
      <c r="Q56" s="94"/>
      <c r="R56" s="94"/>
      <c r="S56" s="95" t="s">
        <v>22</v>
      </c>
      <c r="T56" s="95" t="s">
        <v>0</v>
      </c>
      <c r="U56" s="95">
        <f t="shared" si="1"/>
        <v>13.78765431302261</v>
      </c>
      <c r="V56" s="8" t="s">
        <v>5</v>
      </c>
      <c r="W56" s="93"/>
      <c r="X56" s="93"/>
      <c r="Y56" s="93"/>
      <c r="Z56" s="93"/>
      <c r="AA56" s="93"/>
      <c r="AB56" s="93"/>
      <c r="AC56" s="93"/>
      <c r="AD56" s="93"/>
      <c r="AE56" s="93"/>
    </row>
    <row r="57" spans="1:31" ht="15.75" hidden="1">
      <c r="A57" s="8">
        <f>$Q$11/4</f>
        <v>0.00625</v>
      </c>
      <c r="B57" s="8" t="s">
        <v>2</v>
      </c>
      <c r="C57" s="8" t="s">
        <v>26</v>
      </c>
      <c r="D57" s="95">
        <f t="shared" si="0"/>
        <v>0.08175000000000002</v>
      </c>
      <c r="E57" s="93"/>
      <c r="F57" s="8" t="s">
        <v>2</v>
      </c>
      <c r="G57" s="155" t="s">
        <v>14</v>
      </c>
      <c r="H57" s="95" t="s">
        <v>0</v>
      </c>
      <c r="I57" s="95">
        <f>$R$7</f>
        <v>0.06</v>
      </c>
      <c r="J57" s="93" t="s">
        <v>7</v>
      </c>
      <c r="K57" s="94" t="s">
        <v>30</v>
      </c>
      <c r="L57" s="95" t="s">
        <v>0</v>
      </c>
      <c r="M57" s="93">
        <f>2*PI()/(1/($I$53*$D$53)+1/$I$54*LN($D$54/$D$53)+1/$I$55*LN($D$55/$D$54)+1/$I$56*LN($D$56/$D$55)+1/$I$57*LN($D$57/$D$56))</f>
        <v>1.2150970017227953</v>
      </c>
      <c r="N57" s="8" t="s">
        <v>41</v>
      </c>
      <c r="O57" s="8"/>
      <c r="P57" s="8"/>
      <c r="Q57" s="94"/>
      <c r="R57" s="94"/>
      <c r="S57" s="95" t="s">
        <v>23</v>
      </c>
      <c r="T57" s="95" t="s">
        <v>0</v>
      </c>
      <c r="U57" s="95">
        <f t="shared" si="1"/>
        <v>7.67287716964697</v>
      </c>
      <c r="V57" s="8" t="s">
        <v>5</v>
      </c>
      <c r="W57" s="93"/>
      <c r="X57" s="93"/>
      <c r="Y57" s="93"/>
      <c r="Z57" s="93"/>
      <c r="AA57" s="93"/>
      <c r="AB57" s="93"/>
      <c r="AC57" s="93"/>
      <c r="AD57" s="93"/>
      <c r="AE57" s="93"/>
    </row>
    <row r="58" spans="1:31" ht="15.75" hidden="1">
      <c r="A58" s="8">
        <f>$Q$11/4</f>
        <v>0.00625</v>
      </c>
      <c r="B58" s="8" t="s">
        <v>2</v>
      </c>
      <c r="C58" s="8" t="s">
        <v>28</v>
      </c>
      <c r="D58" s="95">
        <f t="shared" si="0"/>
        <v>0.08800000000000002</v>
      </c>
      <c r="E58" s="93"/>
      <c r="F58" s="8" t="s">
        <v>2</v>
      </c>
      <c r="G58" s="155" t="s">
        <v>14</v>
      </c>
      <c r="H58" s="95" t="s">
        <v>0</v>
      </c>
      <c r="I58" s="95">
        <f>$R$7</f>
        <v>0.06</v>
      </c>
      <c r="J58" s="93" t="s">
        <v>7</v>
      </c>
      <c r="K58" s="94" t="s">
        <v>31</v>
      </c>
      <c r="L58" s="95" t="s">
        <v>0</v>
      </c>
      <c r="M58" s="93">
        <f>2*PI()/(1/($I$53*$D$53)+1/$I$54*LN($D$54/$D$53)+1/$I$55*LN($D$55/$D$54)+1/$I$56*LN($D$56/$D$55)+1/$I$57*LN($D$57/$D$56)+1/$I$58*LN($D$58/$D$57)+1/I58*LN(D59/D58))</f>
        <v>0.981934397687119</v>
      </c>
      <c r="N58" s="8" t="s">
        <v>41</v>
      </c>
      <c r="O58" s="8"/>
      <c r="P58" s="8"/>
      <c r="Q58" s="94"/>
      <c r="R58" s="94"/>
      <c r="S58" s="95" t="s">
        <v>33</v>
      </c>
      <c r="T58" s="95" t="s">
        <v>0</v>
      </c>
      <c r="U58" s="95">
        <f t="shared" si="1"/>
        <v>2.0447061197749186</v>
      </c>
      <c r="V58" s="8" t="s">
        <v>5</v>
      </c>
      <c r="W58" s="93"/>
      <c r="X58" s="93"/>
      <c r="Y58" s="93"/>
      <c r="Z58" s="93"/>
      <c r="AA58" s="93"/>
      <c r="AB58" s="93"/>
      <c r="AC58" s="93"/>
      <c r="AD58" s="93"/>
      <c r="AE58" s="93"/>
    </row>
    <row r="59" spans="1:31" ht="15.75" hidden="1">
      <c r="A59" s="8"/>
      <c r="B59" s="8"/>
      <c r="C59" s="8" t="s">
        <v>29</v>
      </c>
      <c r="D59" s="95">
        <f>A60+D58</f>
        <v>0.08800000000000002</v>
      </c>
      <c r="E59" s="93"/>
      <c r="F59" s="8" t="s">
        <v>2</v>
      </c>
      <c r="G59" s="155" t="s">
        <v>12</v>
      </c>
      <c r="H59" s="95" t="s">
        <v>0</v>
      </c>
      <c r="I59" s="156">
        <f>D48</f>
        <v>7.062839050051778</v>
      </c>
      <c r="J59" s="93" t="s">
        <v>122</v>
      </c>
      <c r="K59" s="94" t="s">
        <v>32</v>
      </c>
      <c r="L59" s="95" t="s">
        <v>0</v>
      </c>
      <c r="M59" s="93">
        <f>2*PI()/(1/($I$53*$D$53)+1/$I$54*LN($D$54/$D$53)+1/$I$55*LN($D$55/$D$54)+1/$I$56*LN($D$56/$D$55)+1/$I$57*LN($D$57/$D$56)+1/$I$58*LN($D$58/$D$57)+1/I59*LN(D59/D58)+1/(I59*D58))</f>
        <v>0.7846413378151773</v>
      </c>
      <c r="N59" s="8" t="s">
        <v>41</v>
      </c>
      <c r="O59" s="8"/>
      <c r="P59" s="8"/>
      <c r="Q59" s="94" t="s">
        <v>40</v>
      </c>
      <c r="R59" s="95" t="s">
        <v>0</v>
      </c>
      <c r="S59" s="95" t="s">
        <v>34</v>
      </c>
      <c r="T59" s="95" t="s">
        <v>0</v>
      </c>
      <c r="U59" s="95">
        <f t="shared" si="1"/>
        <v>-3.1686294202974636</v>
      </c>
      <c r="V59" s="8" t="s">
        <v>5</v>
      </c>
      <c r="W59" s="93"/>
      <c r="X59" s="93"/>
      <c r="Y59" s="93"/>
      <c r="Z59" s="93"/>
      <c r="AA59" s="93"/>
      <c r="AB59" s="93"/>
      <c r="AC59" s="93"/>
      <c r="AD59" s="93"/>
      <c r="AE59" s="93"/>
    </row>
    <row r="60" spans="1:31" ht="12.75" hidden="1">
      <c r="A60" s="8"/>
      <c r="B60" s="8"/>
      <c r="C60" s="8" t="s">
        <v>36</v>
      </c>
      <c r="D60" s="95">
        <f>D59</f>
        <v>0.08800000000000002</v>
      </c>
      <c r="E60" s="93"/>
      <c r="F60" s="8" t="s">
        <v>2</v>
      </c>
      <c r="G60" s="93"/>
      <c r="H60" s="93"/>
      <c r="I60" s="94"/>
      <c r="J60" s="95"/>
      <c r="K60" s="93"/>
      <c r="L60" s="93"/>
      <c r="M60" s="94"/>
      <c r="N60" s="8" t="s">
        <v>41</v>
      </c>
      <c r="O60" s="8"/>
      <c r="P60" s="8"/>
      <c r="Q60" s="94"/>
      <c r="R60" s="94"/>
      <c r="S60" s="95" t="s">
        <v>35</v>
      </c>
      <c r="T60" s="95" t="s">
        <v>0</v>
      </c>
      <c r="U60" s="95">
        <f>$R$12</f>
        <v>-10</v>
      </c>
      <c r="V60" s="8" t="s">
        <v>5</v>
      </c>
      <c r="W60" s="93"/>
      <c r="X60" s="93"/>
      <c r="Y60" s="93"/>
      <c r="Z60" s="93"/>
      <c r="AA60" s="93"/>
      <c r="AB60" s="93"/>
      <c r="AC60" s="93"/>
      <c r="AD60" s="93"/>
      <c r="AE60" s="93"/>
    </row>
    <row r="61" spans="1:31" ht="12.75" hidden="1">
      <c r="A61" s="93"/>
      <c r="B61" s="93"/>
      <c r="C61" s="8" t="s">
        <v>38</v>
      </c>
      <c r="D61" s="8"/>
      <c r="E61" s="8"/>
      <c r="F61" s="94"/>
      <c r="G61" s="94"/>
      <c r="H61" s="95"/>
      <c r="I61" s="95"/>
      <c r="J61" s="95"/>
      <c r="N61" s="8" t="s">
        <v>41</v>
      </c>
      <c r="O61" s="8"/>
      <c r="P61" s="8"/>
      <c r="Q61" s="94" t="s">
        <v>4</v>
      </c>
      <c r="R61" s="95" t="s">
        <v>0</v>
      </c>
      <c r="S61" s="95" t="s">
        <v>23</v>
      </c>
      <c r="T61" s="95" t="s">
        <v>0</v>
      </c>
      <c r="U61" s="95">
        <f>$R$12</f>
        <v>-10</v>
      </c>
      <c r="V61" s="8" t="s">
        <v>5</v>
      </c>
      <c r="W61" s="93"/>
      <c r="X61" s="93"/>
      <c r="Y61" s="93"/>
      <c r="Z61" s="93"/>
      <c r="AA61" s="93"/>
      <c r="AB61" s="93"/>
      <c r="AC61" s="93"/>
      <c r="AD61" s="93"/>
      <c r="AE61" s="93"/>
    </row>
    <row r="62" spans="1:31" ht="12.75">
      <c r="A62" s="93"/>
      <c r="B62" s="93"/>
      <c r="C62" s="93"/>
      <c r="D62" s="93"/>
      <c r="E62" s="93"/>
      <c r="F62" s="93"/>
      <c r="G62" s="93"/>
      <c r="H62" s="93"/>
      <c r="I62" s="93"/>
      <c r="J62" s="93"/>
      <c r="K62" s="93"/>
      <c r="Q62" s="157"/>
      <c r="R62" s="8"/>
      <c r="S62" s="93"/>
      <c r="T62" s="93"/>
      <c r="W62" s="93"/>
      <c r="X62" s="93"/>
      <c r="Y62" s="93"/>
      <c r="Z62" s="93"/>
      <c r="AA62" s="93"/>
      <c r="AB62" s="93"/>
      <c r="AC62" s="93"/>
      <c r="AD62" s="93"/>
      <c r="AE62" s="93"/>
    </row>
    <row r="63" spans="1:31" ht="12.75">
      <c r="A63" s="93"/>
      <c r="B63" s="93"/>
      <c r="C63" s="93"/>
      <c r="D63" s="93"/>
      <c r="E63" s="93"/>
      <c r="F63" s="93"/>
      <c r="G63" s="93"/>
      <c r="H63" s="93"/>
      <c r="I63" s="93"/>
      <c r="J63" s="93"/>
      <c r="K63" s="93"/>
      <c r="Q63" s="157"/>
      <c r="R63" s="95"/>
      <c r="S63" s="93"/>
      <c r="T63" s="93"/>
      <c r="W63" s="93"/>
      <c r="X63" s="93"/>
      <c r="Y63" s="93"/>
      <c r="Z63" s="93"/>
      <c r="AA63" s="93"/>
      <c r="AB63" s="93"/>
      <c r="AC63" s="93"/>
      <c r="AD63" s="93"/>
      <c r="AE63" s="93"/>
    </row>
    <row r="64" spans="1:31" ht="12.75">
      <c r="A64" s="93"/>
      <c r="B64" s="93"/>
      <c r="C64" s="93"/>
      <c r="D64" s="93"/>
      <c r="E64" s="93"/>
      <c r="F64" s="93"/>
      <c r="G64" s="93"/>
      <c r="H64" s="93"/>
      <c r="I64" s="93"/>
      <c r="J64" s="93"/>
      <c r="K64" s="93"/>
      <c r="Q64" s="157"/>
      <c r="R64" s="95"/>
      <c r="S64" s="93"/>
      <c r="T64" s="93"/>
      <c r="W64" s="93"/>
      <c r="X64" s="93"/>
      <c r="Y64" s="93"/>
      <c r="Z64" s="93"/>
      <c r="AA64" s="93"/>
      <c r="AB64" s="93"/>
      <c r="AC64" s="93"/>
      <c r="AD64" s="93"/>
      <c r="AE64" s="93"/>
    </row>
    <row r="65" spans="1:31" ht="12.75">
      <c r="A65" s="93"/>
      <c r="B65" s="93"/>
      <c r="C65" s="93"/>
      <c r="D65" s="93"/>
      <c r="E65" s="93"/>
      <c r="F65" s="93"/>
      <c r="G65" s="93"/>
      <c r="H65" s="93"/>
      <c r="I65" s="93"/>
      <c r="J65" s="93"/>
      <c r="K65" s="93"/>
      <c r="Q65" s="137"/>
      <c r="R65" s="158"/>
      <c r="S65" s="114"/>
      <c r="T65" s="93"/>
      <c r="W65" s="93"/>
      <c r="X65" s="93"/>
      <c r="Y65" s="93"/>
      <c r="Z65" s="93"/>
      <c r="AA65" s="93"/>
      <c r="AB65" s="93"/>
      <c r="AC65" s="93"/>
      <c r="AD65" s="93"/>
      <c r="AE65" s="93"/>
    </row>
    <row r="66" spans="1:31" ht="12.75">
      <c r="A66" s="93"/>
      <c r="B66" s="93"/>
      <c r="C66" s="93"/>
      <c r="D66" s="93"/>
      <c r="E66" s="93"/>
      <c r="F66" s="93"/>
      <c r="G66" s="93"/>
      <c r="H66" s="93"/>
      <c r="I66" s="93"/>
      <c r="J66" s="93"/>
      <c r="K66" s="93"/>
      <c r="S66" s="93"/>
      <c r="T66" s="93"/>
      <c r="W66" s="93"/>
      <c r="X66" s="93"/>
      <c r="Y66" s="93"/>
      <c r="Z66" s="93"/>
      <c r="AA66" s="93"/>
      <c r="AB66" s="93"/>
      <c r="AC66" s="93"/>
      <c r="AD66" s="93"/>
      <c r="AE66" s="93"/>
    </row>
    <row r="67" spans="1:31" ht="12.75">
      <c r="A67" s="93"/>
      <c r="B67" s="93"/>
      <c r="C67" s="93"/>
      <c r="D67" s="93"/>
      <c r="E67" s="93"/>
      <c r="F67" s="93"/>
      <c r="G67" s="93"/>
      <c r="H67" s="93"/>
      <c r="I67" s="93"/>
      <c r="J67" s="93"/>
      <c r="K67" s="93"/>
      <c r="Q67" s="94"/>
      <c r="R67" s="8"/>
      <c r="S67" s="8"/>
      <c r="T67" s="93"/>
      <c r="W67" s="93"/>
      <c r="X67" s="93"/>
      <c r="Y67" s="93"/>
      <c r="Z67" s="93"/>
      <c r="AA67" s="93"/>
      <c r="AB67" s="93"/>
      <c r="AC67" s="93"/>
      <c r="AD67" s="93"/>
      <c r="AE67" s="93"/>
    </row>
    <row r="68" spans="1:31" ht="12.75">
      <c r="A68" s="93"/>
      <c r="B68" s="93"/>
      <c r="C68" s="93"/>
      <c r="D68" s="93"/>
      <c r="E68" s="93"/>
      <c r="F68" s="93"/>
      <c r="G68" s="93"/>
      <c r="H68" s="93"/>
      <c r="I68" s="93"/>
      <c r="J68" s="93"/>
      <c r="K68" s="93"/>
      <c r="Q68" s="94"/>
      <c r="R68" s="142"/>
      <c r="S68" s="8"/>
      <c r="T68" s="93"/>
      <c r="W68" s="93"/>
      <c r="X68" s="93"/>
      <c r="Y68" s="93"/>
      <c r="Z68" s="93"/>
      <c r="AA68" s="93"/>
      <c r="AB68" s="93"/>
      <c r="AC68" s="93"/>
      <c r="AD68" s="93"/>
      <c r="AE68" s="93"/>
    </row>
    <row r="69" spans="1:31" ht="12.75">
      <c r="A69" s="93"/>
      <c r="B69" s="93"/>
      <c r="C69" s="93"/>
      <c r="D69" s="93"/>
      <c r="E69" s="93"/>
      <c r="F69" s="93"/>
      <c r="G69" s="93"/>
      <c r="H69" s="93"/>
      <c r="I69" s="93"/>
      <c r="J69" s="93"/>
      <c r="K69" s="93"/>
      <c r="N69" s="95"/>
      <c r="O69" s="93"/>
      <c r="P69" s="93"/>
      <c r="S69" s="93"/>
      <c r="T69" s="93"/>
      <c r="W69" s="93"/>
      <c r="X69" s="93"/>
      <c r="Y69" s="93"/>
      <c r="Z69" s="93"/>
      <c r="AA69" s="93"/>
      <c r="AB69" s="93"/>
      <c r="AC69" s="93"/>
      <c r="AD69" s="93"/>
      <c r="AE69" s="93"/>
    </row>
    <row r="70" spans="1:31" ht="12.75">
      <c r="A70" s="93"/>
      <c r="B70" s="93"/>
      <c r="C70" s="93"/>
      <c r="D70" s="93"/>
      <c r="E70" s="93"/>
      <c r="F70" s="93"/>
      <c r="G70" s="93"/>
      <c r="H70" s="93"/>
      <c r="I70" s="93"/>
      <c r="J70" s="93"/>
      <c r="K70" s="93"/>
      <c r="L70" s="93"/>
      <c r="P70" s="93"/>
      <c r="Q70" s="143"/>
      <c r="R70" s="8"/>
      <c r="S70" s="8"/>
      <c r="T70" s="93"/>
      <c r="W70" s="93"/>
      <c r="X70" s="93"/>
      <c r="Y70" s="93"/>
      <c r="Z70" s="93"/>
      <c r="AA70" s="93"/>
      <c r="AB70" s="93"/>
      <c r="AC70" s="93"/>
      <c r="AD70" s="93"/>
      <c r="AE70" s="93"/>
    </row>
    <row r="71" spans="3:31" ht="12.75">
      <c r="C71" s="93"/>
      <c r="D71" s="93"/>
      <c r="E71" s="93"/>
      <c r="F71" s="94"/>
      <c r="G71" s="159"/>
      <c r="H71" s="160"/>
      <c r="I71" s="114"/>
      <c r="J71" s="114"/>
      <c r="K71" s="114"/>
      <c r="L71" s="93"/>
      <c r="P71" s="93"/>
      <c r="Q71" s="143"/>
      <c r="R71" s="136"/>
      <c r="S71" s="8"/>
      <c r="T71" s="93"/>
      <c r="W71" s="93"/>
      <c r="X71" s="93"/>
      <c r="Y71" s="93"/>
      <c r="Z71" s="93"/>
      <c r="AA71" s="93"/>
      <c r="AB71" s="93"/>
      <c r="AC71" s="93"/>
      <c r="AD71" s="93"/>
      <c r="AE71" s="93"/>
    </row>
    <row r="72" ht="12.75"/>
    <row r="73" ht="12.75"/>
    <row r="74" ht="12.75"/>
    <row r="75" ht="12.75"/>
    <row r="76" ht="12.75"/>
    <row r="77" ht="12.75"/>
    <row r="78" ht="12.75"/>
    <row r="79" ht="12.75"/>
    <row r="80" ht="12.75"/>
    <row r="81" ht="12.75"/>
    <row r="82" ht="12.75"/>
    <row r="83" ht="12.75"/>
  </sheetData>
  <sheetProtection password="CA27" sheet="1" objects="1" scenarios="1" selectLockedCells="1"/>
  <mergeCells count="9">
    <mergeCell ref="A22:P22"/>
    <mergeCell ref="A1:P1"/>
    <mergeCell ref="I6:K6"/>
    <mergeCell ref="I7:K7"/>
    <mergeCell ref="I8:K8"/>
    <mergeCell ref="N21:P21"/>
    <mergeCell ref="A2:P2"/>
    <mergeCell ref="A21:M21"/>
    <mergeCell ref="B3:P3"/>
  </mergeCells>
  <printOptions/>
  <pageMargins left="0.74" right="0.63" top="0.77" bottom="0.77" header="0.4921259845" footer="0.4921259845"/>
  <pageSetup horizontalDpi="120" verticalDpi="12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E24"/>
  <sheetViews>
    <sheetView showGridLines="0" zoomScale="105" zoomScaleNormal="105" workbookViewId="0" topLeftCell="A19">
      <selection activeCell="H23" sqref="H23"/>
    </sheetView>
  </sheetViews>
  <sheetFormatPr defaultColWidth="9.00390625" defaultRowHeight="12.75"/>
  <cols>
    <col min="1" max="1" width="15.625" style="75" customWidth="1"/>
    <col min="2" max="2" width="4.625" style="76" customWidth="1"/>
    <col min="3" max="3" width="2.125" style="86" customWidth="1"/>
    <col min="4" max="4" width="9.00390625" style="86" customWidth="1"/>
    <col min="5" max="5" width="2.875" style="87" customWidth="1"/>
    <col min="6" max="6" width="3.375" style="83" customWidth="1"/>
    <col min="7" max="7" width="2.25390625" style="83" customWidth="1"/>
    <col min="8" max="8" width="8.00390625" style="83" customWidth="1"/>
    <col min="9" max="11" width="5.125" style="83" customWidth="1"/>
    <col min="12" max="12" width="3.25390625" style="82" customWidth="1"/>
    <col min="13" max="13" width="2.125" style="82" customWidth="1"/>
    <col min="14" max="14" width="5.625" style="83" customWidth="1"/>
    <col min="15" max="15" width="8.125" style="78" customWidth="1"/>
    <col min="16" max="16" width="5.625" style="82" customWidth="1"/>
    <col min="17" max="17" width="5.75390625" style="77" customWidth="1"/>
    <col min="18" max="18" width="9.125" style="77" customWidth="1"/>
    <col min="19" max="19" width="5.25390625" style="78" customWidth="1"/>
    <col min="20" max="20" width="2.375" style="82" customWidth="1"/>
    <col min="21" max="21" width="9.125" style="77" customWidth="1"/>
    <col min="22" max="22" width="3.25390625" style="77" customWidth="1"/>
    <col min="23" max="23" width="3.875" style="83" customWidth="1"/>
    <col min="24" max="24" width="8.625" style="83" customWidth="1"/>
    <col min="25" max="25" width="3.875" style="83" customWidth="1"/>
    <col min="26" max="26" width="4.875" style="78" customWidth="1"/>
    <col min="27" max="27" width="3.00390625" style="78" customWidth="1"/>
    <col min="28" max="28" width="4.00390625" style="82" customWidth="1"/>
    <col min="29" max="29" width="2.625" style="82" customWidth="1"/>
    <col min="30" max="30" width="5.875" style="82" customWidth="1"/>
    <col min="31" max="31" width="5.625" style="83" customWidth="1"/>
    <col min="32" max="16384" width="9.125" style="77" customWidth="1"/>
  </cols>
  <sheetData>
    <row r="1" spans="1:31" s="9" customFormat="1" ht="16.5" customHeight="1">
      <c r="A1" s="193" t="s">
        <v>87</v>
      </c>
      <c r="B1" s="194"/>
      <c r="C1" s="194"/>
      <c r="D1" s="194"/>
      <c r="E1" s="194"/>
      <c r="F1" s="194"/>
      <c r="G1" s="194"/>
      <c r="H1" s="194"/>
      <c r="I1" s="194"/>
      <c r="J1" s="194"/>
      <c r="K1" s="194"/>
      <c r="L1" s="194"/>
      <c r="M1" s="194"/>
      <c r="N1" s="194"/>
      <c r="O1" s="194"/>
      <c r="P1" s="195"/>
      <c r="S1" s="10"/>
      <c r="T1" s="11"/>
      <c r="W1" s="12"/>
      <c r="X1" s="12"/>
      <c r="Y1" s="12"/>
      <c r="Z1" s="10"/>
      <c r="AA1" s="10"/>
      <c r="AB1" s="11"/>
      <c r="AC1" s="11"/>
      <c r="AD1" s="11"/>
      <c r="AE1" s="12"/>
    </row>
    <row r="2" spans="1:31" s="13" customFormat="1" ht="12.75" customHeight="1">
      <c r="A2" s="197" t="s">
        <v>95</v>
      </c>
      <c r="B2" s="198"/>
      <c r="C2" s="198"/>
      <c r="D2" s="198"/>
      <c r="E2" s="198"/>
      <c r="F2" s="198"/>
      <c r="G2" s="198"/>
      <c r="H2" s="198"/>
      <c r="I2" s="198"/>
      <c r="J2" s="198"/>
      <c r="K2" s="198"/>
      <c r="L2" s="198"/>
      <c r="M2" s="198"/>
      <c r="N2" s="198"/>
      <c r="O2" s="198"/>
      <c r="P2" s="199"/>
      <c r="S2" s="14"/>
      <c r="T2" s="15"/>
      <c r="W2" s="16"/>
      <c r="X2" s="16"/>
      <c r="Y2" s="16"/>
      <c r="Z2" s="14"/>
      <c r="AA2" s="14"/>
      <c r="AB2" s="15"/>
      <c r="AC2" s="15"/>
      <c r="AD2" s="15"/>
      <c r="AE2" s="16"/>
    </row>
    <row r="3" spans="1:31" s="13" customFormat="1" ht="12.75">
      <c r="A3" s="20" t="s">
        <v>135</v>
      </c>
      <c r="B3" s="200" t="str">
        <f>Výpočet_1!B3</f>
        <v>Koupelna</v>
      </c>
      <c r="C3" s="200"/>
      <c r="D3" s="200"/>
      <c r="E3" s="200"/>
      <c r="F3" s="200"/>
      <c r="G3" s="200"/>
      <c r="H3" s="200"/>
      <c r="I3" s="200"/>
      <c r="J3" s="200"/>
      <c r="K3" s="200"/>
      <c r="L3" s="200"/>
      <c r="M3" s="200"/>
      <c r="N3" s="200"/>
      <c r="O3" s="200"/>
      <c r="P3" s="200"/>
      <c r="S3" s="14"/>
      <c r="T3" s="15"/>
      <c r="W3" s="16"/>
      <c r="X3" s="16"/>
      <c r="Y3" s="16"/>
      <c r="Z3" s="14"/>
      <c r="AA3" s="14"/>
      <c r="AB3" s="15"/>
      <c r="AC3" s="15"/>
      <c r="AD3" s="15"/>
      <c r="AE3" s="16"/>
    </row>
    <row r="4" spans="1:31" s="28" customFormat="1" ht="12.75">
      <c r="A4" s="20" t="s">
        <v>92</v>
      </c>
      <c r="B4" s="21"/>
      <c r="C4" s="22"/>
      <c r="D4" s="22"/>
      <c r="E4" s="23"/>
      <c r="F4" s="24"/>
      <c r="G4" s="24"/>
      <c r="H4" s="24"/>
      <c r="I4" s="24"/>
      <c r="J4" s="24"/>
      <c r="K4" s="24"/>
      <c r="L4" s="25"/>
      <c r="M4" s="25"/>
      <c r="N4" s="24"/>
      <c r="O4" s="26"/>
      <c r="P4" s="27"/>
      <c r="S4" s="29"/>
      <c r="T4" s="30"/>
      <c r="W4" s="31"/>
      <c r="X4" s="31"/>
      <c r="Y4" s="31"/>
      <c r="Z4" s="29"/>
      <c r="AA4" s="29"/>
      <c r="AB4" s="30"/>
      <c r="AC4" s="30"/>
      <c r="AD4" s="30"/>
      <c r="AE4" s="31"/>
    </row>
    <row r="5" spans="1:31" s="28" customFormat="1" ht="12.75">
      <c r="A5" s="32" t="str">
        <f>Výpočet_1!A22</f>
        <v> </v>
      </c>
      <c r="B5" s="33"/>
      <c r="C5" s="34"/>
      <c r="D5" s="34"/>
      <c r="E5" s="35"/>
      <c r="F5" s="36"/>
      <c r="G5" s="36"/>
      <c r="H5" s="36"/>
      <c r="I5" s="36"/>
      <c r="J5" s="36"/>
      <c r="K5" s="36"/>
      <c r="L5" s="37"/>
      <c r="M5" s="37"/>
      <c r="N5" s="36"/>
      <c r="O5" s="38"/>
      <c r="P5" s="37"/>
      <c r="S5" s="29"/>
      <c r="T5" s="30"/>
      <c r="W5" s="31"/>
      <c r="X5" s="31"/>
      <c r="Y5" s="31"/>
      <c r="Z5" s="29"/>
      <c r="AA5" s="29"/>
      <c r="AB5" s="30"/>
      <c r="AC5" s="30"/>
      <c r="AD5" s="30"/>
      <c r="AE5" s="31"/>
    </row>
    <row r="6" spans="1:31" s="44" customFormat="1" ht="39.75" customHeight="1">
      <c r="A6" s="39" t="s">
        <v>96</v>
      </c>
      <c r="B6" s="17" t="s">
        <v>42</v>
      </c>
      <c r="C6" s="18" t="s">
        <v>0</v>
      </c>
      <c r="D6" s="164">
        <f>Výpočet_1!D6</f>
        <v>200</v>
      </c>
      <c r="E6" s="165" t="s">
        <v>43</v>
      </c>
      <c r="F6" s="166"/>
      <c r="G6" s="166"/>
      <c r="H6" s="166"/>
      <c r="I6" s="196" t="s">
        <v>101</v>
      </c>
      <c r="J6" s="196"/>
      <c r="K6" s="196"/>
      <c r="L6" s="40" t="s">
        <v>106</v>
      </c>
      <c r="M6" s="41" t="s">
        <v>0</v>
      </c>
      <c r="N6" s="164">
        <f>Výpočet_1!N6</f>
        <v>50</v>
      </c>
      <c r="O6" s="42" t="s">
        <v>107</v>
      </c>
      <c r="P6" s="43"/>
      <c r="S6" s="45"/>
      <c r="T6" s="43"/>
      <c r="W6" s="46"/>
      <c r="X6" s="46"/>
      <c r="Y6" s="46"/>
      <c r="Z6" s="45"/>
      <c r="AA6" s="45"/>
      <c r="AB6" s="43"/>
      <c r="AC6" s="43"/>
      <c r="AD6" s="43"/>
      <c r="AE6" s="46"/>
    </row>
    <row r="7" spans="1:31" s="44" customFormat="1" ht="39" customHeight="1">
      <c r="A7" s="39"/>
      <c r="B7" s="17" t="s">
        <v>42</v>
      </c>
      <c r="C7" s="18" t="s">
        <v>0</v>
      </c>
      <c r="D7" s="167">
        <f>Výpočet_1!D7</f>
        <v>0.05555555555555555</v>
      </c>
      <c r="E7" s="165" t="s">
        <v>44</v>
      </c>
      <c r="F7" s="166"/>
      <c r="G7" s="166"/>
      <c r="H7" s="166"/>
      <c r="I7" s="196" t="s">
        <v>102</v>
      </c>
      <c r="J7" s="196"/>
      <c r="K7" s="196"/>
      <c r="L7" s="40" t="s">
        <v>108</v>
      </c>
      <c r="M7" s="41" t="s">
        <v>0</v>
      </c>
      <c r="N7" s="164">
        <f>Výpočet_1!N7</f>
        <v>0.06</v>
      </c>
      <c r="O7" s="42" t="s">
        <v>107</v>
      </c>
      <c r="P7" s="43"/>
      <c r="S7" s="45"/>
      <c r="T7" s="43"/>
      <c r="W7" s="46"/>
      <c r="X7" s="46"/>
      <c r="Y7" s="46"/>
      <c r="Z7" s="45"/>
      <c r="AA7" s="45"/>
      <c r="AB7" s="43"/>
      <c r="AC7" s="43"/>
      <c r="AD7" s="43"/>
      <c r="AE7" s="46"/>
    </row>
    <row r="8" spans="1:31" s="44" customFormat="1" ht="38.25" customHeight="1">
      <c r="A8" s="39" t="s">
        <v>123</v>
      </c>
      <c r="B8" s="17" t="s">
        <v>46</v>
      </c>
      <c r="C8" s="18" t="s">
        <v>0</v>
      </c>
      <c r="D8" s="164">
        <f>Výpočet_1!D8</f>
        <v>125</v>
      </c>
      <c r="E8" s="165" t="s">
        <v>130</v>
      </c>
      <c r="F8" s="168"/>
      <c r="G8" s="166"/>
      <c r="H8" s="166"/>
      <c r="I8" s="196" t="s">
        <v>103</v>
      </c>
      <c r="J8" s="196"/>
      <c r="K8" s="196"/>
      <c r="L8" s="40" t="s">
        <v>88</v>
      </c>
      <c r="M8" s="41" t="s">
        <v>0</v>
      </c>
      <c r="N8" s="164">
        <f>Výpočet_1!N8</f>
        <v>0.13</v>
      </c>
      <c r="O8" s="47"/>
      <c r="P8" s="43"/>
      <c r="S8" s="45"/>
      <c r="T8" s="43"/>
      <c r="W8" s="46"/>
      <c r="X8" s="46"/>
      <c r="Y8" s="46"/>
      <c r="Z8" s="45"/>
      <c r="AA8" s="45"/>
      <c r="AB8" s="43"/>
      <c r="AC8" s="43"/>
      <c r="AD8" s="43"/>
      <c r="AE8" s="46"/>
    </row>
    <row r="9" spans="1:31" s="13" customFormat="1" ht="12.75">
      <c r="A9" s="39" t="s">
        <v>97</v>
      </c>
      <c r="B9" s="17" t="s">
        <v>45</v>
      </c>
      <c r="C9" s="18" t="s">
        <v>0</v>
      </c>
      <c r="D9" s="174">
        <f>Výpočet_1!D9</f>
        <v>4.527073936836134</v>
      </c>
      <c r="E9" s="165" t="s">
        <v>44</v>
      </c>
      <c r="F9" s="166"/>
      <c r="G9" s="166"/>
      <c r="H9" s="166"/>
      <c r="I9" s="166"/>
      <c r="J9" s="166"/>
      <c r="K9" s="166"/>
      <c r="P9" s="15"/>
      <c r="S9" s="14"/>
      <c r="T9" s="15"/>
      <c r="W9" s="16"/>
      <c r="X9" s="16"/>
      <c r="Y9" s="16"/>
      <c r="Z9" s="14"/>
      <c r="AA9" s="14"/>
      <c r="AB9" s="15"/>
      <c r="AC9" s="15"/>
      <c r="AD9" s="15"/>
      <c r="AE9" s="16"/>
    </row>
    <row r="10" spans="1:31" s="44" customFormat="1" ht="12.75">
      <c r="A10" s="39" t="s">
        <v>99</v>
      </c>
      <c r="B10" s="17" t="s">
        <v>19</v>
      </c>
      <c r="C10" s="18" t="s">
        <v>0</v>
      </c>
      <c r="D10" s="176">
        <f>Výpočet_1!D10</f>
        <v>0.5</v>
      </c>
      <c r="E10" s="165" t="s">
        <v>130</v>
      </c>
      <c r="F10" s="166"/>
      <c r="G10" s="166"/>
      <c r="H10" s="166"/>
      <c r="I10" s="166"/>
      <c r="J10" s="166"/>
      <c r="K10" s="166"/>
      <c r="L10" s="171" t="s">
        <v>3</v>
      </c>
      <c r="M10" s="169" t="s">
        <v>0</v>
      </c>
      <c r="N10" s="164">
        <f>Výpočet_1!N10</f>
        <v>24</v>
      </c>
      <c r="O10" s="19" t="s">
        <v>5</v>
      </c>
      <c r="P10" s="43"/>
      <c r="S10" s="45"/>
      <c r="T10" s="43"/>
      <c r="W10" s="46"/>
      <c r="X10" s="46"/>
      <c r="Y10" s="46"/>
      <c r="Z10" s="45"/>
      <c r="AA10" s="45"/>
      <c r="AB10" s="43"/>
      <c r="AC10" s="43"/>
      <c r="AD10" s="43"/>
      <c r="AE10" s="46"/>
    </row>
    <row r="11" spans="1:31" s="13" customFormat="1" ht="12.75">
      <c r="A11" s="39" t="s">
        <v>98</v>
      </c>
      <c r="B11" s="17" t="s">
        <v>20</v>
      </c>
      <c r="C11" s="18" t="s">
        <v>0</v>
      </c>
      <c r="D11" s="176">
        <f>Výpočet_1!D11</f>
        <v>25</v>
      </c>
      <c r="E11" s="165" t="s">
        <v>130</v>
      </c>
      <c r="F11" s="166"/>
      <c r="G11" s="166"/>
      <c r="H11" s="166"/>
      <c r="I11" s="166"/>
      <c r="J11" s="166"/>
      <c r="K11" s="166"/>
      <c r="L11" s="40" t="s">
        <v>109</v>
      </c>
      <c r="M11" s="41" t="s">
        <v>0</v>
      </c>
      <c r="N11" s="170">
        <f>Výpočet_1!R11</f>
        <v>0.9</v>
      </c>
      <c r="O11" s="42"/>
      <c r="P11" s="15"/>
      <c r="S11" s="14"/>
      <c r="T11" s="15"/>
      <c r="W11" s="16"/>
      <c r="X11" s="16"/>
      <c r="Y11" s="16"/>
      <c r="Z11" s="14"/>
      <c r="AA11" s="14"/>
      <c r="AB11" s="15"/>
      <c r="AC11" s="15"/>
      <c r="AD11" s="15"/>
      <c r="AE11" s="16"/>
    </row>
    <row r="12" spans="1:31" s="13" customFormat="1" ht="24">
      <c r="A12" s="39" t="s">
        <v>100</v>
      </c>
      <c r="B12" s="17" t="s">
        <v>27</v>
      </c>
      <c r="C12" s="18" t="s">
        <v>0</v>
      </c>
      <c r="D12" s="164">
        <f>Výpočet_1!D12</f>
        <v>2</v>
      </c>
      <c r="E12" s="165" t="s">
        <v>2</v>
      </c>
      <c r="F12" s="166"/>
      <c r="G12" s="166"/>
      <c r="H12" s="166"/>
      <c r="I12" s="166"/>
      <c r="J12" s="166"/>
      <c r="K12" s="166"/>
      <c r="L12" s="171" t="s">
        <v>113</v>
      </c>
      <c r="M12" s="169" t="s">
        <v>0</v>
      </c>
      <c r="N12" s="164">
        <f>Výpočet_1!N12</f>
        <v>-10</v>
      </c>
      <c r="O12" s="19" t="s">
        <v>5</v>
      </c>
      <c r="P12" s="15"/>
      <c r="S12" s="14"/>
      <c r="T12" s="15"/>
      <c r="W12" s="16"/>
      <c r="X12" s="16"/>
      <c r="Y12" s="16"/>
      <c r="Z12" s="14"/>
      <c r="AA12" s="14"/>
      <c r="AB12" s="15"/>
      <c r="AC12" s="15"/>
      <c r="AD12" s="15"/>
      <c r="AE12" s="16"/>
    </row>
    <row r="13" spans="1:17" s="13" customFormat="1" ht="12.75">
      <c r="A13" s="48"/>
      <c r="D13" s="18"/>
      <c r="F13" s="16"/>
      <c r="G13" s="16"/>
      <c r="I13" s="16"/>
      <c r="J13" s="16"/>
      <c r="K13" s="16"/>
      <c r="L13" s="49"/>
      <c r="M13" s="49"/>
      <c r="N13" s="18"/>
      <c r="O13" s="50"/>
      <c r="P13" s="49"/>
      <c r="Q13" s="51"/>
    </row>
    <row r="14" spans="1:17" s="28" customFormat="1" ht="12.75">
      <c r="A14" s="20" t="s">
        <v>89</v>
      </c>
      <c r="B14" s="52"/>
      <c r="C14" s="52"/>
      <c r="D14" s="53"/>
      <c r="E14" s="52"/>
      <c r="F14" s="24"/>
      <c r="G14" s="24"/>
      <c r="H14" s="52"/>
      <c r="I14" s="24"/>
      <c r="J14" s="24"/>
      <c r="K14" s="24"/>
      <c r="L14" s="25"/>
      <c r="M14" s="25"/>
      <c r="N14" s="53"/>
      <c r="O14" s="26"/>
      <c r="P14" s="27"/>
      <c r="Q14" s="54"/>
    </row>
    <row r="15" spans="1:17" s="28" customFormat="1" ht="12.75">
      <c r="A15" s="32"/>
      <c r="B15" s="55"/>
      <c r="C15" s="55"/>
      <c r="D15" s="56"/>
      <c r="E15" s="55"/>
      <c r="F15" s="36"/>
      <c r="G15" s="36"/>
      <c r="H15" s="55"/>
      <c r="I15" s="36"/>
      <c r="J15" s="36"/>
      <c r="K15" s="36"/>
      <c r="L15" s="37"/>
      <c r="M15" s="37"/>
      <c r="N15" s="56"/>
      <c r="O15" s="38"/>
      <c r="P15" s="37"/>
      <c r="Q15" s="54"/>
    </row>
    <row r="16" spans="1:17" s="44" customFormat="1" ht="36" customHeight="1">
      <c r="A16" s="189" t="s">
        <v>104</v>
      </c>
      <c r="B16" s="189"/>
      <c r="C16" s="189"/>
      <c r="D16" s="189"/>
      <c r="E16" s="189"/>
      <c r="F16" s="189"/>
      <c r="G16" s="189"/>
      <c r="H16" s="189"/>
      <c r="I16" s="189"/>
      <c r="J16" s="189"/>
      <c r="K16" s="16"/>
      <c r="L16" s="57" t="s">
        <v>39</v>
      </c>
      <c r="M16" s="57" t="s">
        <v>0</v>
      </c>
      <c r="N16" s="58">
        <f>Výpočet_1!D16</f>
        <v>20.48121261008599</v>
      </c>
      <c r="O16" s="59" t="s">
        <v>5</v>
      </c>
      <c r="P16" s="60"/>
      <c r="Q16" s="61"/>
    </row>
    <row r="17" spans="1:17" s="44" customFormat="1" ht="36" customHeight="1">
      <c r="A17" s="189" t="s">
        <v>105</v>
      </c>
      <c r="B17" s="189"/>
      <c r="C17" s="189"/>
      <c r="D17" s="189"/>
      <c r="E17" s="189"/>
      <c r="F17" s="189"/>
      <c r="G17" s="189"/>
      <c r="H17" s="189"/>
      <c r="I17" s="189"/>
      <c r="J17" s="189"/>
      <c r="K17" s="16"/>
      <c r="L17" s="57" t="s">
        <v>90</v>
      </c>
      <c r="M17" s="57" t="s">
        <v>0</v>
      </c>
      <c r="N17" s="58">
        <f>Výpočet_1!D17</f>
        <v>22.25607693475635</v>
      </c>
      <c r="O17" s="59" t="s">
        <v>5</v>
      </c>
      <c r="P17" s="60"/>
      <c r="Q17" s="61"/>
    </row>
    <row r="18" spans="1:17" s="44" customFormat="1" ht="12.75">
      <c r="A18" s="62"/>
      <c r="B18" s="63"/>
      <c r="C18" s="63"/>
      <c r="D18" s="47"/>
      <c r="E18" s="47"/>
      <c r="F18" s="46"/>
      <c r="G18" s="46"/>
      <c r="I18" s="46"/>
      <c r="J18" s="46"/>
      <c r="K18" s="46"/>
      <c r="L18" s="60"/>
      <c r="M18" s="60"/>
      <c r="N18" s="60"/>
      <c r="O18" s="64"/>
      <c r="P18" s="60"/>
      <c r="Q18" s="61"/>
    </row>
    <row r="19" spans="1:17" s="28" customFormat="1" ht="15" customHeight="1" thickBot="1">
      <c r="A19" s="65" t="s">
        <v>91</v>
      </c>
      <c r="B19" s="21"/>
      <c r="C19" s="21"/>
      <c r="D19" s="66"/>
      <c r="E19" s="23"/>
      <c r="F19" s="24"/>
      <c r="G19" s="24"/>
      <c r="H19" s="24"/>
      <c r="I19" s="52"/>
      <c r="J19" s="52"/>
      <c r="K19" s="52"/>
      <c r="L19" s="25"/>
      <c r="M19" s="25"/>
      <c r="N19" s="25"/>
      <c r="O19" s="24"/>
      <c r="P19" s="27"/>
      <c r="Q19" s="54"/>
    </row>
    <row r="20" spans="1:17" s="28" customFormat="1" ht="15" customHeight="1" thickBot="1">
      <c r="A20" s="67"/>
      <c r="B20" s="68"/>
      <c r="C20" s="68"/>
      <c r="D20" s="69"/>
      <c r="E20" s="70"/>
      <c r="F20" s="31"/>
      <c r="G20" s="31"/>
      <c r="H20" s="31"/>
      <c r="L20" s="37"/>
      <c r="M20" s="37"/>
      <c r="N20" s="71" t="s">
        <v>39</v>
      </c>
      <c r="O20" s="72" t="str">
        <f>IF(N16&gt;N17,"&gt;","&lt;")</f>
        <v>&lt;</v>
      </c>
      <c r="P20" s="73" t="s">
        <v>90</v>
      </c>
      <c r="Q20" s="54"/>
    </row>
    <row r="21" spans="1:19" s="28" customFormat="1" ht="25.5" customHeight="1" thickBot="1">
      <c r="A21" s="184" t="s">
        <v>127</v>
      </c>
      <c r="B21" s="184"/>
      <c r="C21" s="184"/>
      <c r="D21" s="184"/>
      <c r="E21" s="184"/>
      <c r="F21" s="184"/>
      <c r="G21" s="184"/>
      <c r="H21" s="184"/>
      <c r="I21" s="184"/>
      <c r="J21" s="184"/>
      <c r="K21" s="184"/>
      <c r="L21" s="184"/>
      <c r="M21" s="185"/>
      <c r="N21" s="190" t="str">
        <f>Výpočet_1!N21</f>
        <v>NEVYHOVUJE</v>
      </c>
      <c r="O21" s="191"/>
      <c r="P21" s="192"/>
      <c r="Q21" s="74"/>
      <c r="R21" s="74"/>
      <c r="S21" s="74"/>
    </row>
    <row r="22" spans="1:19" s="28" customFormat="1" ht="25.5" customHeight="1" thickBot="1">
      <c r="A22" s="184" t="s">
        <v>129</v>
      </c>
      <c r="B22" s="184"/>
      <c r="C22" s="184"/>
      <c r="D22" s="184"/>
      <c r="E22" s="184"/>
      <c r="F22" s="184"/>
      <c r="G22" s="184"/>
      <c r="H22" s="184"/>
      <c r="I22" s="184"/>
      <c r="J22" s="184"/>
      <c r="K22" s="184"/>
      <c r="L22" s="184"/>
      <c r="M22" s="185"/>
      <c r="N22" s="186" t="str">
        <f>IF(N21="chyba","CHYBA",IF(N16&gt;N17,"NEDOCHÁZÍ","DOCHÁZÍ"))</f>
        <v>DOCHÁZÍ</v>
      </c>
      <c r="O22" s="187"/>
      <c r="P22" s="188"/>
      <c r="Q22" s="74"/>
      <c r="R22" s="74"/>
      <c r="S22" s="74"/>
    </row>
    <row r="23" spans="1:19" s="28" customFormat="1" ht="17.25" customHeight="1">
      <c r="A23" s="59" t="str">
        <f>A5</f>
        <v> </v>
      </c>
      <c r="B23" s="163"/>
      <c r="C23" s="163"/>
      <c r="D23" s="163"/>
      <c r="E23" s="163"/>
      <c r="F23" s="163"/>
      <c r="G23" s="163"/>
      <c r="H23" s="163"/>
      <c r="I23" s="163"/>
      <c r="J23" s="163"/>
      <c r="K23" s="163"/>
      <c r="L23" s="163"/>
      <c r="M23" s="173"/>
      <c r="N23" s="162"/>
      <c r="O23" s="162"/>
      <c r="P23" s="162"/>
      <c r="Q23" s="74"/>
      <c r="R23" s="74"/>
      <c r="S23" s="74"/>
    </row>
    <row r="24" spans="3:31" ht="12.75">
      <c r="C24" s="77"/>
      <c r="D24" s="77"/>
      <c r="E24" s="77"/>
      <c r="F24" s="78"/>
      <c r="G24" s="79"/>
      <c r="H24" s="80"/>
      <c r="I24" s="81"/>
      <c r="J24" s="81"/>
      <c r="K24" s="81"/>
      <c r="L24" s="77"/>
      <c r="P24" s="77"/>
      <c r="Q24" s="84"/>
      <c r="R24" s="85"/>
      <c r="S24" s="83"/>
      <c r="T24" s="77"/>
      <c r="W24" s="77"/>
      <c r="X24" s="77"/>
      <c r="Y24" s="77"/>
      <c r="Z24" s="77"/>
      <c r="AA24" s="77"/>
      <c r="AB24" s="77"/>
      <c r="AC24" s="77"/>
      <c r="AD24" s="77"/>
      <c r="AE24" s="77"/>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sheetData>
  <sheetProtection password="CA27" sheet="1" objects="1" scenarios="1" selectLockedCells="1" selectUnlockedCells="1"/>
  <mergeCells count="12">
    <mergeCell ref="A1:P1"/>
    <mergeCell ref="I6:K6"/>
    <mergeCell ref="I7:K7"/>
    <mergeCell ref="I8:K8"/>
    <mergeCell ref="A2:P2"/>
    <mergeCell ref="B3:P3"/>
    <mergeCell ref="A22:M22"/>
    <mergeCell ref="N22:P22"/>
    <mergeCell ref="A16:J16"/>
    <mergeCell ref="A17:J17"/>
    <mergeCell ref="N21:P21"/>
    <mergeCell ref="A21:M21"/>
  </mergeCells>
  <printOptions/>
  <pageMargins left="0.81" right="0.63" top="0.65" bottom="0.7" header="0.4921259845" footer="0.4921259845"/>
  <pageSetup horizontalDpi="120" verticalDpi="120" orientation="portrait" paperSize="9" r:id="rId2"/>
  <drawing r:id="rId1"/>
</worksheet>
</file>

<file path=xl/worksheets/sheet3.xml><?xml version="1.0" encoding="utf-8"?>
<worksheet xmlns="http://schemas.openxmlformats.org/spreadsheetml/2006/main" xmlns:r="http://schemas.openxmlformats.org/officeDocument/2006/relationships">
  <dimension ref="A1:A27"/>
  <sheetViews>
    <sheetView tabSelected="1" workbookViewId="0" topLeftCell="A1">
      <selection activeCell="A8" sqref="A8"/>
    </sheetView>
  </sheetViews>
  <sheetFormatPr defaultColWidth="9.00390625" defaultRowHeight="12.75"/>
  <cols>
    <col min="1" max="1" width="91.25390625" style="1" customWidth="1"/>
    <col min="2" max="16384" width="9.125" style="1" customWidth="1"/>
  </cols>
  <sheetData>
    <row r="1" ht="12.75">
      <c r="A1" s="4" t="s">
        <v>125</v>
      </c>
    </row>
    <row r="2" ht="25.5">
      <c r="A2" s="3" t="s">
        <v>121</v>
      </c>
    </row>
    <row r="3" ht="12.75">
      <c r="A3" s="3" t="s">
        <v>119</v>
      </c>
    </row>
    <row r="4" ht="12.75">
      <c r="A4" s="3" t="s">
        <v>131</v>
      </c>
    </row>
    <row r="5" ht="12.75">
      <c r="A5" s="3" t="s">
        <v>120</v>
      </c>
    </row>
    <row r="6" ht="63.75">
      <c r="A6" s="3" t="s">
        <v>134</v>
      </c>
    </row>
    <row r="7" ht="25.5">
      <c r="A7" s="3" t="s">
        <v>124</v>
      </c>
    </row>
    <row r="8" ht="12.75">
      <c r="A8" s="3"/>
    </row>
    <row r="9" ht="12.75">
      <c r="A9" s="3"/>
    </row>
    <row r="10" ht="12.75">
      <c r="A10" s="4" t="s">
        <v>118</v>
      </c>
    </row>
    <row r="11" ht="25.5">
      <c r="A11" s="3" t="s">
        <v>132</v>
      </c>
    </row>
    <row r="12" ht="25.5">
      <c r="A12" s="3" t="s">
        <v>133</v>
      </c>
    </row>
    <row r="13" ht="25.5">
      <c r="A13" s="3" t="s">
        <v>114</v>
      </c>
    </row>
    <row r="14" ht="12.75">
      <c r="A14" s="3" t="s">
        <v>115</v>
      </c>
    </row>
    <row r="15" ht="25.5">
      <c r="A15" s="3" t="s">
        <v>128</v>
      </c>
    </row>
    <row r="16" ht="25.5">
      <c r="A16" s="3" t="s">
        <v>116</v>
      </c>
    </row>
    <row r="27" ht="12.75">
      <c r="A27" s="3" t="s">
        <v>117</v>
      </c>
    </row>
  </sheetData>
  <sheetProtection password="C7B2" sheet="1" objects="1" scenarios="1" selectLockedCells="1" selectUnlockedCells="1"/>
  <printOptions/>
  <pageMargins left="0.53" right="0.41"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cp:lastModifiedBy>
  <cp:lastPrinted>2005-06-16T10:50:38Z</cp:lastPrinted>
  <dcterms:created xsi:type="dcterms:W3CDTF">2001-04-17T19:50:35Z</dcterms:created>
  <dcterms:modified xsi:type="dcterms:W3CDTF">2005-06-16T10:51:55Z</dcterms:modified>
  <cp:category/>
  <cp:version/>
  <cp:contentType/>
  <cp:contentStatus/>
</cp:coreProperties>
</file>